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yang/Desktop/我还能学/2019/Sem2 2019/Agribusiness II/Case study/Danny's/Due 01:11:2019/"/>
    </mc:Choice>
  </mc:AlternateContent>
  <bookViews>
    <workbookView xWindow="1120" yWindow="460" windowWidth="13980" windowHeight="14140" activeTab="1"/>
  </bookViews>
  <sheets>
    <sheet name="Gross Margin" sheetId="1" r:id="rId1"/>
    <sheet name="Cash Flow" sheetId="4" r:id="rId2"/>
    <sheet name="Balance Sheet" sheetId="5" r:id="rId3"/>
    <sheet name="Profit or Loss Statement" sheetId="6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6" l="1"/>
  <c r="J74" i="1"/>
  <c r="F29" i="1"/>
  <c r="F65" i="1"/>
  <c r="J65" i="1"/>
  <c r="F30" i="1"/>
  <c r="F72" i="1"/>
  <c r="J72" i="1"/>
  <c r="C39" i="4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3" i="1"/>
  <c r="J53" i="1"/>
  <c r="F54" i="1"/>
  <c r="J54" i="1"/>
  <c r="F56" i="1"/>
  <c r="J56" i="1"/>
  <c r="F57" i="1"/>
  <c r="J57" i="1"/>
  <c r="F59" i="1"/>
  <c r="J59" i="1"/>
  <c r="N49" i="1"/>
  <c r="F34" i="1"/>
  <c r="J34" i="1"/>
  <c r="F35" i="1"/>
  <c r="J35" i="1"/>
  <c r="F36" i="1"/>
  <c r="J36" i="1"/>
  <c r="F37" i="1"/>
  <c r="J37" i="1"/>
  <c r="F38" i="1"/>
  <c r="J38" i="1"/>
  <c r="F39" i="1"/>
  <c r="J39" i="1"/>
  <c r="F40" i="1"/>
  <c r="J40" i="1"/>
  <c r="F42" i="1"/>
  <c r="J42" i="1"/>
  <c r="N48" i="1"/>
  <c r="N40" i="1"/>
  <c r="N37" i="1"/>
  <c r="K34" i="1"/>
  <c r="N43" i="1"/>
  <c r="D68" i="4"/>
  <c r="G56" i="6"/>
  <c r="G40" i="6"/>
  <c r="G49" i="6"/>
  <c r="G21" i="6"/>
  <c r="F6" i="1"/>
  <c r="J6" i="1"/>
  <c r="K6" i="1"/>
  <c r="O54" i="4"/>
  <c r="N54" i="4"/>
  <c r="M54" i="4"/>
  <c r="L54" i="4"/>
  <c r="K54" i="4"/>
  <c r="J54" i="4"/>
  <c r="I54" i="4"/>
  <c r="H54" i="4"/>
  <c r="G54" i="4"/>
  <c r="F54" i="4"/>
  <c r="E54" i="4"/>
  <c r="D54" i="4"/>
  <c r="F22" i="1"/>
  <c r="F23" i="1"/>
  <c r="F24" i="1"/>
  <c r="F66" i="1"/>
  <c r="J66" i="1"/>
  <c r="F26" i="1"/>
  <c r="F73" i="1"/>
  <c r="J73" i="1"/>
  <c r="N45" i="1"/>
  <c r="F82" i="1"/>
  <c r="J82" i="1"/>
  <c r="N39" i="1"/>
  <c r="J67" i="1"/>
  <c r="N38" i="1"/>
  <c r="J29" i="1"/>
  <c r="J30" i="1"/>
  <c r="N36" i="1"/>
  <c r="J26" i="1"/>
  <c r="J22" i="1"/>
  <c r="J23" i="1"/>
  <c r="N35" i="1"/>
  <c r="J83" i="1"/>
  <c r="K74" i="1"/>
  <c r="K70" i="1"/>
  <c r="K71" i="1"/>
  <c r="K73" i="1"/>
  <c r="K72" i="1"/>
  <c r="K63" i="1"/>
  <c r="K64" i="1"/>
  <c r="K66" i="1"/>
  <c r="K67" i="1"/>
  <c r="F7" i="1"/>
  <c r="J7" i="1"/>
  <c r="K7" i="1"/>
  <c r="K13" i="1"/>
  <c r="K17" i="1"/>
  <c r="K6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5" i="1"/>
  <c r="D12" i="4"/>
  <c r="D20" i="4"/>
  <c r="D22" i="4"/>
  <c r="D71" i="4"/>
  <c r="D66" i="4"/>
  <c r="D58" i="4"/>
  <c r="D72" i="4"/>
  <c r="D73" i="4"/>
  <c r="D74" i="4"/>
  <c r="D75" i="4"/>
  <c r="D76" i="4"/>
  <c r="E12" i="4"/>
  <c r="E20" i="4"/>
  <c r="E22" i="4"/>
  <c r="E71" i="4"/>
  <c r="E66" i="4"/>
  <c r="E58" i="4"/>
  <c r="E72" i="4"/>
  <c r="E73" i="4"/>
  <c r="E74" i="4"/>
  <c r="E75" i="4"/>
  <c r="E76" i="4"/>
  <c r="F12" i="4"/>
  <c r="F20" i="4"/>
  <c r="F22" i="4"/>
  <c r="F71" i="4"/>
  <c r="F66" i="4"/>
  <c r="F58" i="4"/>
  <c r="F72" i="4"/>
  <c r="F73" i="4"/>
  <c r="F74" i="4"/>
  <c r="F75" i="4"/>
  <c r="F76" i="4"/>
  <c r="G12" i="4"/>
  <c r="G20" i="4"/>
  <c r="G22" i="4"/>
  <c r="G71" i="4"/>
  <c r="G66" i="4"/>
  <c r="G58" i="4"/>
  <c r="G72" i="4"/>
  <c r="G73" i="4"/>
  <c r="G74" i="4"/>
  <c r="G75" i="4"/>
  <c r="G76" i="4"/>
  <c r="H12" i="4"/>
  <c r="H20" i="4"/>
  <c r="H22" i="4"/>
  <c r="H71" i="4"/>
  <c r="H66" i="4"/>
  <c r="H58" i="4"/>
  <c r="H72" i="4"/>
  <c r="H73" i="4"/>
  <c r="H74" i="4"/>
  <c r="H75" i="4"/>
  <c r="H76" i="4"/>
  <c r="I12" i="4"/>
  <c r="I20" i="4"/>
  <c r="I22" i="4"/>
  <c r="I71" i="4"/>
  <c r="I66" i="4"/>
  <c r="I58" i="4"/>
  <c r="I72" i="4"/>
  <c r="I73" i="4"/>
  <c r="I74" i="4"/>
  <c r="I75" i="4"/>
  <c r="I76" i="4"/>
  <c r="J12" i="4"/>
  <c r="J20" i="4"/>
  <c r="J22" i="4"/>
  <c r="J71" i="4"/>
  <c r="J66" i="4"/>
  <c r="J58" i="4"/>
  <c r="J72" i="4"/>
  <c r="J73" i="4"/>
  <c r="J74" i="4"/>
  <c r="J75" i="4"/>
  <c r="J76" i="4"/>
  <c r="K20" i="4"/>
  <c r="K22" i="4"/>
  <c r="K71" i="4"/>
  <c r="K66" i="4"/>
  <c r="K58" i="4"/>
  <c r="K72" i="4"/>
  <c r="K73" i="4"/>
  <c r="K74" i="4"/>
  <c r="K75" i="4"/>
  <c r="K76" i="4"/>
  <c r="L12" i="4"/>
  <c r="L20" i="4"/>
  <c r="L22" i="4"/>
  <c r="L71" i="4"/>
  <c r="L66" i="4"/>
  <c r="L58" i="4"/>
  <c r="L72" i="4"/>
  <c r="L73" i="4"/>
  <c r="L74" i="4"/>
  <c r="L75" i="4"/>
  <c r="L76" i="4"/>
  <c r="M12" i="4"/>
  <c r="M20" i="4"/>
  <c r="M22" i="4"/>
  <c r="M71" i="4"/>
  <c r="M66" i="4"/>
  <c r="M58" i="4"/>
  <c r="M72" i="4"/>
  <c r="M73" i="4"/>
  <c r="M74" i="4"/>
  <c r="M75" i="4"/>
  <c r="M76" i="4"/>
  <c r="N12" i="4"/>
  <c r="N20" i="4"/>
  <c r="N22" i="4"/>
  <c r="N71" i="4"/>
  <c r="N66" i="4"/>
  <c r="N58" i="4"/>
  <c r="N72" i="4"/>
  <c r="N73" i="4"/>
  <c r="N74" i="4"/>
  <c r="N75" i="4"/>
  <c r="N76" i="4"/>
  <c r="O12" i="4"/>
  <c r="O20" i="4"/>
  <c r="O22" i="4"/>
  <c r="O71" i="4"/>
  <c r="O66" i="4"/>
  <c r="O58" i="4"/>
  <c r="O72" i="4"/>
  <c r="O73" i="4"/>
  <c r="O74" i="4"/>
  <c r="O75" i="4"/>
  <c r="O76" i="4"/>
  <c r="C20" i="4"/>
  <c r="C22" i="4"/>
  <c r="C71" i="4"/>
  <c r="C66" i="4"/>
  <c r="C58" i="4"/>
  <c r="C72" i="4"/>
  <c r="C73" i="4"/>
  <c r="D2" i="4"/>
  <c r="E2" i="4"/>
  <c r="F2" i="4"/>
  <c r="G2" i="4"/>
  <c r="H2" i="4"/>
  <c r="I2" i="4"/>
  <c r="J2" i="4"/>
  <c r="K2" i="4"/>
  <c r="L2" i="4"/>
  <c r="M2" i="4"/>
  <c r="N2" i="4"/>
  <c r="O2" i="4"/>
  <c r="J13" i="1"/>
  <c r="J17" i="1"/>
  <c r="K36" i="1"/>
  <c r="K37" i="1"/>
  <c r="K38" i="1"/>
  <c r="K39" i="1"/>
  <c r="K40" i="1"/>
  <c r="K42" i="1"/>
  <c r="K35" i="1"/>
  <c r="K29" i="1"/>
  <c r="K30" i="1"/>
  <c r="K22" i="1"/>
  <c r="J85" i="1"/>
  <c r="K32" i="1"/>
  <c r="K25" i="1"/>
  <c r="K24" i="1"/>
  <c r="K23" i="1"/>
  <c r="J14" i="1"/>
  <c r="G10" i="1"/>
  <c r="E10" i="1"/>
  <c r="K9" i="1"/>
  <c r="K5" i="1"/>
  <c r="F26" i="5"/>
  <c r="F19" i="5"/>
  <c r="F14" i="5"/>
  <c r="F27" i="5"/>
  <c r="F39" i="5"/>
  <c r="F34" i="5"/>
  <c r="F41" i="5"/>
  <c r="F43" i="5"/>
  <c r="D26" i="5"/>
  <c r="D19" i="5"/>
  <c r="D14" i="5"/>
  <c r="D27" i="5"/>
  <c r="D39" i="5"/>
  <c r="D34" i="5"/>
  <c r="D41" i="5"/>
  <c r="D43" i="5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color indexed="81"/>
            <rFont val="Tahoma"/>
          </rPr>
          <t>Crop area by paddock or just total</t>
        </r>
      </text>
    </comment>
    <comment ref="C5" authorId="0">
      <text>
        <r>
          <rPr>
            <sz val="8"/>
            <color indexed="81"/>
            <rFont val="Tahoma"/>
          </rPr>
          <t>Crop area by paddock or just total</t>
        </r>
      </text>
    </comment>
    <comment ref="B9" authorId="0">
      <text>
        <r>
          <rPr>
            <sz val="8"/>
            <color indexed="81"/>
            <rFont val="Tahoma"/>
          </rPr>
          <t>Insert rows if more paddocks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74" authorId="0">
      <text>
        <r>
          <rPr>
            <sz val="8"/>
            <color indexed="81"/>
            <rFont val="Tahoma"/>
          </rPr>
          <t>Closing balance from Cash Flow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7" authorId="0">
      <text>
        <r>
          <rPr>
            <sz val="8"/>
            <color indexed="81"/>
            <rFont val="Tahoma"/>
          </rPr>
          <t>Closing balance from Cash Flow</t>
        </r>
      </text>
    </comment>
    <comment ref="E7" authorId="0">
      <text>
        <r>
          <rPr>
            <sz val="8"/>
            <color indexed="81"/>
            <rFont val="Tahoma"/>
          </rPr>
          <t>Closing balance from Cash Flow</t>
        </r>
      </text>
    </comment>
  </commentList>
</comments>
</file>

<file path=xl/sharedStrings.xml><?xml version="1.0" encoding="utf-8"?>
<sst xmlns="http://schemas.openxmlformats.org/spreadsheetml/2006/main" count="380" uniqueCount="289">
  <si>
    <t>for Year Ending</t>
  </si>
  <si>
    <t>Compiled by</t>
  </si>
  <si>
    <t>ENTERPRISE</t>
  </si>
  <si>
    <t>TOTAL</t>
  </si>
  <si>
    <t>QUANTITY</t>
  </si>
  <si>
    <t>SUB-TOTAL (b)</t>
  </si>
  <si>
    <t>GROSS OUTPUT (a-b)</t>
  </si>
  <si>
    <t>LESS VARIABLE COSTS:</t>
  </si>
  <si>
    <t>kg</t>
  </si>
  <si>
    <t>t</t>
  </si>
  <si>
    <t>/t</t>
  </si>
  <si>
    <t>CASH FLOW BUDGET for</t>
  </si>
  <si>
    <t xml:space="preserve">Year ending </t>
  </si>
  <si>
    <t>PERIOD</t>
  </si>
  <si>
    <t>ANNUAL</t>
  </si>
  <si>
    <t>ITEM</t>
  </si>
  <si>
    <t>RECEIPTS</t>
  </si>
  <si>
    <t>CROPS</t>
  </si>
  <si>
    <t>Crop3</t>
  </si>
  <si>
    <t>Crop4</t>
  </si>
  <si>
    <t>Crop5</t>
  </si>
  <si>
    <t>Crop6</t>
  </si>
  <si>
    <t>Crop7</t>
  </si>
  <si>
    <t>Crop8</t>
  </si>
  <si>
    <t>Crop9</t>
  </si>
  <si>
    <t>Crop10</t>
  </si>
  <si>
    <t>MERINO</t>
  </si>
  <si>
    <t>X BRED</t>
  </si>
  <si>
    <t>WETHERS</t>
  </si>
  <si>
    <t>STUD</t>
  </si>
  <si>
    <t>BEEF</t>
  </si>
  <si>
    <t>CAPITAL :</t>
  </si>
  <si>
    <t>Machinery</t>
  </si>
  <si>
    <t>Land</t>
  </si>
  <si>
    <t>Other</t>
  </si>
  <si>
    <t>TOT.FARM INC</t>
  </si>
  <si>
    <t>NON FARM :</t>
  </si>
  <si>
    <t>Fuel rebate</t>
  </si>
  <si>
    <t>super rebates</t>
  </si>
  <si>
    <t>contract income</t>
  </si>
  <si>
    <t>Non Operating</t>
  </si>
  <si>
    <t>Interest</t>
  </si>
  <si>
    <t>SUB-TOTAL</t>
  </si>
  <si>
    <t>TOTAL INCOME</t>
  </si>
  <si>
    <t>EXPENSES</t>
  </si>
  <si>
    <t>LIVESTOCK:</t>
  </si>
  <si>
    <t>CONTRACT HIRE</t>
  </si>
  <si>
    <t>CROPS/PASTURE:</t>
  </si>
  <si>
    <t>FERTILISER</t>
  </si>
  <si>
    <t>SEED PURCHASED</t>
  </si>
  <si>
    <t>SPRAYS</t>
  </si>
  <si>
    <t>CROP INS.</t>
  </si>
  <si>
    <t>FREIGHT</t>
  </si>
  <si>
    <t>OTHER</t>
  </si>
  <si>
    <t>CASUAL LABOR</t>
  </si>
  <si>
    <t>SEED COSTS</t>
  </si>
  <si>
    <t>MACHINERY &amp; POWER</t>
  </si>
  <si>
    <t>REPAIRS</t>
  </si>
  <si>
    <t>FUEL OIL</t>
  </si>
  <si>
    <t>ELECTRICITY</t>
  </si>
  <si>
    <t>GENERAL O/H</t>
  </si>
  <si>
    <t>MOTOR EXP</t>
  </si>
  <si>
    <t>R &amp; M</t>
  </si>
  <si>
    <t>RATES/RENTS</t>
  </si>
  <si>
    <t>RENT/LEASE-land</t>
  </si>
  <si>
    <t>INSURANCE gen.</t>
  </si>
  <si>
    <t>TELEPHONE</t>
  </si>
  <si>
    <t>PROF FEES</t>
  </si>
  <si>
    <t>BANK CHARGES</t>
  </si>
  <si>
    <t>SUBS/licences</t>
  </si>
  <si>
    <t>CONFERENCE &amp; TRAVEL</t>
  </si>
  <si>
    <t>OFFICE EXP.</t>
  </si>
  <si>
    <t>MISC</t>
  </si>
  <si>
    <t>LABOUR</t>
  </si>
  <si>
    <t>TOTAL OPERATING</t>
  </si>
  <si>
    <t>NON_OPERATING</t>
  </si>
  <si>
    <t>Interest (not O/D)</t>
  </si>
  <si>
    <t>Other Non Operating</t>
  </si>
  <si>
    <t>CAPITAL:</t>
  </si>
  <si>
    <t>Prin. Red</t>
  </si>
  <si>
    <t>Purchases</t>
  </si>
  <si>
    <t>TOT. CAPITAL</t>
  </si>
  <si>
    <t>PERSONAL:</t>
  </si>
  <si>
    <t>Drawings</t>
  </si>
  <si>
    <t>TAX</t>
  </si>
  <si>
    <t>TOT.PERSONAL</t>
  </si>
  <si>
    <t>TOT.EXPENSES</t>
  </si>
  <si>
    <t>NET CASHFLOW</t>
  </si>
  <si>
    <t>OPENING BAL.</t>
  </si>
  <si>
    <t>CHANGE</t>
  </si>
  <si>
    <t>O/D INTEREST @</t>
  </si>
  <si>
    <t>CLOSING BAL.</t>
  </si>
  <si>
    <t>Statement of Assets &amp; Liabilities for</t>
  </si>
  <si>
    <t>Opening</t>
  </si>
  <si>
    <t>Closing</t>
  </si>
  <si>
    <t>CURRENT</t>
  </si>
  <si>
    <t>Trading Accounts</t>
  </si>
  <si>
    <t>Sundry Debtors</t>
  </si>
  <si>
    <t>Short Term Investments</t>
  </si>
  <si>
    <t>Estimated Future Pool Receipts</t>
  </si>
  <si>
    <t>Inventory : Materials</t>
  </si>
  <si>
    <t xml:space="preserve">                      Produce</t>
  </si>
  <si>
    <t>Livestock (Current)</t>
  </si>
  <si>
    <t>subtotal : CURRENT ASSETS</t>
  </si>
  <si>
    <t>FIXED - WORKING</t>
  </si>
  <si>
    <t>Livestock (working)</t>
  </si>
  <si>
    <t>Plant &amp; Machinery</t>
  </si>
  <si>
    <t>subtotal : FIXED WORKING ASSETS</t>
  </si>
  <si>
    <t>FIXED - OTHER</t>
  </si>
  <si>
    <t>Compulsory Credits</t>
  </si>
  <si>
    <t>Other Investments</t>
  </si>
  <si>
    <t>Fixed Improvements</t>
  </si>
  <si>
    <t>subtotal : FIXED OTHER ASSETS</t>
  </si>
  <si>
    <t>TOTAL ASSETS</t>
  </si>
  <si>
    <t>Trading Accounts (Overdraft)</t>
  </si>
  <si>
    <t>Sundry Creditors</t>
  </si>
  <si>
    <t>Short Term Loans</t>
  </si>
  <si>
    <t>subtotal : CURRENT LIABILITIES</t>
  </si>
  <si>
    <t>DEFFERED</t>
  </si>
  <si>
    <t>Medium Term Loans</t>
  </si>
  <si>
    <t>Long Term Loans</t>
  </si>
  <si>
    <t>subtotal : DEFERRED LIABILITIES</t>
  </si>
  <si>
    <t>TOTAL LIABILITIES</t>
  </si>
  <si>
    <t>EQUITY</t>
  </si>
  <si>
    <t>GROSS MARGIN PROFIT BUDGET for</t>
  </si>
  <si>
    <t>Year Ending</t>
  </si>
  <si>
    <t>SIZE  Ha</t>
  </si>
  <si>
    <t>% AREA</t>
  </si>
  <si>
    <t>G.M. per ha</t>
  </si>
  <si>
    <t>Total $</t>
  </si>
  <si>
    <t>CROPS:</t>
  </si>
  <si>
    <t>PLUS MISCELLANEOUS RECIEPTS</t>
  </si>
  <si>
    <t>Fuel rebates</t>
  </si>
  <si>
    <t>Sub-total</t>
  </si>
  <si>
    <t xml:space="preserve">LESS UNALLOCATED VARIABLE COSTS </t>
  </si>
  <si>
    <t>CHANGE IN VALUATION ( misc. stores)</t>
  </si>
  <si>
    <t xml:space="preserve">TOTAL GROSS MARGIN     </t>
  </si>
  <si>
    <t>GENERAL OVERHEAD CASH COSTS</t>
  </si>
  <si>
    <t>Detail - See Cash Flow</t>
  </si>
  <si>
    <t>FARM POWER &amp; MACHINERY:</t>
  </si>
  <si>
    <t>FUEL &amp; OIL</t>
  </si>
  <si>
    <t>DEPRECIATION</t>
  </si>
  <si>
    <t>OTHER OVERHEAD COSTS</t>
  </si>
  <si>
    <t>Depreciation on fixed improvements</t>
  </si>
  <si>
    <t>Inventory decreases (not otherwise included)</t>
  </si>
  <si>
    <t>OPERATING PROFIT</t>
  </si>
  <si>
    <t>Plus</t>
  </si>
  <si>
    <t>Non operating farm receipts</t>
  </si>
  <si>
    <t>Less</t>
  </si>
  <si>
    <t>Non operating farm payments</t>
  </si>
  <si>
    <t>Overdraft</t>
  </si>
  <si>
    <t>PROPRIETORSHIP PROFIT</t>
  </si>
  <si>
    <t>CAPITAL GAINS/LOSSES</t>
  </si>
  <si>
    <t>Land value changes</t>
  </si>
  <si>
    <t>NET PROFIT (Before Tax)</t>
  </si>
  <si>
    <t>TAX PAYABLE $</t>
  </si>
  <si>
    <t>NET PROFIT (After Tax)</t>
  </si>
  <si>
    <t>GROSS MARGIN BUDGET</t>
  </si>
  <si>
    <t>Year to</t>
  </si>
  <si>
    <t>for</t>
  </si>
  <si>
    <t>AREA</t>
  </si>
  <si>
    <t xml:space="preserve">Farm Gate </t>
  </si>
  <si>
    <t>$</t>
  </si>
  <si>
    <t>ENTERPRISE:</t>
  </si>
  <si>
    <t>Ha</t>
  </si>
  <si>
    <t>/Ha.</t>
  </si>
  <si>
    <t>Price</t>
  </si>
  <si>
    <t>PER Ha.</t>
  </si>
  <si>
    <t>PADDOCK:</t>
  </si>
  <si>
    <t>MAIN PRODUCT TOTAL (1)</t>
  </si>
  <si>
    <t>BY PRODUCT TOTAL (2)</t>
  </si>
  <si>
    <t>SUB-TOTAL (1+2)= (a)</t>
  </si>
  <si>
    <t>Used from Stocks</t>
  </si>
  <si>
    <t>SEED</t>
  </si>
  <si>
    <t>PURCHASED SEED:</t>
  </si>
  <si>
    <t>SPRAYS:</t>
  </si>
  <si>
    <t>OTHER CHARGES</t>
  </si>
  <si>
    <t>TOTAL VARIABLE COSTS</t>
  </si>
  <si>
    <t>ENTERPRISE GROSS MARGIN (G.O. - V.C.)</t>
  </si>
  <si>
    <t>Chickpeas</t>
    <phoneticPr fontId="6" type="noConversion"/>
  </si>
  <si>
    <t>Urea (Wheat)</t>
    <phoneticPr fontId="6" type="noConversion"/>
  </si>
  <si>
    <t>Wheat (Crop1)</t>
    <phoneticPr fontId="6" type="noConversion"/>
  </si>
  <si>
    <t>Chickpeas (Crop2)</t>
    <phoneticPr fontId="6" type="noConversion"/>
  </si>
  <si>
    <t>Wheat</t>
    <phoneticPr fontId="6" type="noConversion"/>
  </si>
  <si>
    <t>Wheat</t>
    <phoneticPr fontId="6" type="noConversion"/>
  </si>
  <si>
    <t>Flutriafol (on fert)</t>
    <phoneticPr fontId="6" type="noConversion"/>
  </si>
  <si>
    <t>/litre</t>
    <phoneticPr fontId="6" type="noConversion"/>
  </si>
  <si>
    <t>Chickpea</t>
    <phoneticPr fontId="6" type="noConversion"/>
  </si>
  <si>
    <t>MAP</t>
    <phoneticPr fontId="6" type="noConversion"/>
  </si>
  <si>
    <t>kg</t>
    <phoneticPr fontId="6" type="noConversion"/>
  </si>
  <si>
    <t>t</t>
    <phoneticPr fontId="6" type="noConversion"/>
  </si>
  <si>
    <t>Glyphosate 540</t>
  </si>
  <si>
    <t>Carfentrazone 400g/L</t>
  </si>
  <si>
    <t xml:space="preserve">Sakura </t>
  </si>
  <si>
    <t>Topik</t>
  </si>
  <si>
    <t xml:space="preserve">M.C.P.A. LVE </t>
  </si>
  <si>
    <t xml:space="preserve">Paradigm® (3) </t>
  </si>
  <si>
    <t>Glyphosate 540</t>
    <phoneticPr fontId="6" type="noConversion"/>
  </si>
  <si>
    <t xml:space="preserve">Epoxiconazole 125g/L </t>
  </si>
  <si>
    <t>Fungicides - Wheat</t>
    <phoneticPr fontId="6" type="noConversion"/>
  </si>
  <si>
    <t>/t</t>
    <phoneticPr fontId="6" type="noConversion"/>
  </si>
  <si>
    <t>FERTILISER   Month</t>
    <phoneticPr fontId="6" type="noConversion"/>
  </si>
  <si>
    <t xml:space="preserve">Propyzamide </t>
  </si>
  <si>
    <t>Balance®</t>
  </si>
  <si>
    <t>M etribuzin 750 gm/kg</t>
  </si>
  <si>
    <t>Crop1 - Wheat</t>
    <phoneticPr fontId="6" type="noConversion"/>
  </si>
  <si>
    <t>Crop2 - Chickpeas</t>
    <phoneticPr fontId="6" type="noConversion"/>
  </si>
  <si>
    <t>Litre</t>
    <phoneticPr fontId="6" type="noConversion"/>
  </si>
  <si>
    <t>Kg</t>
    <phoneticPr fontId="6" type="noConversion"/>
  </si>
  <si>
    <t>Litre</t>
    <phoneticPr fontId="6" type="noConversion"/>
  </si>
  <si>
    <t>Litre</t>
    <phoneticPr fontId="6" type="noConversion"/>
  </si>
  <si>
    <t>gram</t>
    <phoneticPr fontId="6" type="noConversion"/>
  </si>
  <si>
    <t>Litre</t>
    <phoneticPr fontId="6" type="noConversion"/>
  </si>
  <si>
    <t>Clethodim(incl Oil)</t>
  </si>
  <si>
    <t>Haloxyfop 520g/L</t>
  </si>
  <si>
    <t>Chlorpyrifos (RLEM )</t>
  </si>
  <si>
    <t>Karate Zeon®</t>
  </si>
  <si>
    <t>Aviator Xpro</t>
  </si>
  <si>
    <t xml:space="preserve">Chlorothalonil </t>
  </si>
  <si>
    <t xml:space="preserve">Paraquat </t>
  </si>
  <si>
    <t>Insecticides - Chickpeas</t>
    <phoneticPr fontId="6" type="noConversion"/>
  </si>
  <si>
    <t>Herbicides - Chickpeas</t>
    <phoneticPr fontId="6" type="noConversion"/>
  </si>
  <si>
    <t>Fungicides - Chickpeas</t>
    <phoneticPr fontId="6" type="noConversion"/>
  </si>
  <si>
    <t>Desiccation - Chickpeas</t>
    <phoneticPr fontId="6" type="noConversion"/>
  </si>
  <si>
    <t>Litre</t>
    <phoneticPr fontId="6" type="noConversion"/>
  </si>
  <si>
    <t>gram</t>
    <phoneticPr fontId="6" type="noConversion"/>
  </si>
  <si>
    <t>kg</t>
    <phoneticPr fontId="6" type="noConversion"/>
  </si>
  <si>
    <t>/Litre</t>
    <phoneticPr fontId="6" type="noConversion"/>
  </si>
  <si>
    <t>/Litre</t>
    <phoneticPr fontId="6" type="noConversion"/>
  </si>
  <si>
    <t>/Kg</t>
    <phoneticPr fontId="6" type="noConversion"/>
  </si>
  <si>
    <t>/Litre</t>
    <phoneticPr fontId="6" type="noConversion"/>
  </si>
  <si>
    <t>/Litre</t>
    <phoneticPr fontId="6" type="noConversion"/>
  </si>
  <si>
    <t>/gram</t>
    <phoneticPr fontId="6" type="noConversion"/>
  </si>
  <si>
    <t>/Litre</t>
    <phoneticPr fontId="6" type="noConversion"/>
  </si>
  <si>
    <t>/Litre</t>
    <phoneticPr fontId="6" type="noConversion"/>
  </si>
  <si>
    <t>/Litre</t>
    <phoneticPr fontId="6" type="noConversion"/>
  </si>
  <si>
    <t>/Litre</t>
    <phoneticPr fontId="6" type="noConversion"/>
  </si>
  <si>
    <t>/gram</t>
    <phoneticPr fontId="6" type="noConversion"/>
  </si>
  <si>
    <t>/kg</t>
    <phoneticPr fontId="6" type="noConversion"/>
  </si>
  <si>
    <t>/Litre</t>
    <phoneticPr fontId="6" type="noConversion"/>
  </si>
  <si>
    <t>/Litre</t>
    <phoneticPr fontId="6" type="noConversion"/>
  </si>
  <si>
    <t>/Litre</t>
    <phoneticPr fontId="6" type="noConversion"/>
  </si>
  <si>
    <t>/Litre</t>
    <phoneticPr fontId="6" type="noConversion"/>
  </si>
  <si>
    <t>/Litre</t>
    <phoneticPr fontId="6" type="noConversion"/>
  </si>
  <si>
    <t>Herbicide - Wheat</t>
    <phoneticPr fontId="6" type="noConversion"/>
  </si>
  <si>
    <t>Wheat</t>
    <phoneticPr fontId="6" type="noConversion"/>
  </si>
  <si>
    <t>Fuel &amp; Oil</t>
    <phoneticPr fontId="6" type="noConversion"/>
  </si>
  <si>
    <t>Repair &amp; Maintenance</t>
    <phoneticPr fontId="6" type="noConversion"/>
  </si>
  <si>
    <t>Insurance</t>
    <phoneticPr fontId="6" type="noConversion"/>
  </si>
  <si>
    <t>(Insu: $8.5 / $1000)</t>
    <phoneticPr fontId="6" type="noConversion"/>
  </si>
  <si>
    <t>Urea spraying</t>
    <phoneticPr fontId="6" type="noConversion"/>
  </si>
  <si>
    <t>/ha</t>
    <phoneticPr fontId="6" type="noConversion"/>
  </si>
  <si>
    <t>/t</t>
    <phoneticPr fontId="6" type="noConversion"/>
  </si>
  <si>
    <t>Chickpeas</t>
    <phoneticPr fontId="6" type="noConversion"/>
  </si>
  <si>
    <t>(Insu: $10 / $1000)</t>
    <phoneticPr fontId="6" type="noConversion"/>
  </si>
  <si>
    <t>Freight - Grain</t>
    <phoneticPr fontId="6" type="noConversion"/>
  </si>
  <si>
    <t>Freight - Fertiliser</t>
    <phoneticPr fontId="6" type="noConversion"/>
  </si>
  <si>
    <t>Freight - Grain</t>
    <phoneticPr fontId="6" type="noConversion"/>
  </si>
  <si>
    <t>Freight - Fertiliser</t>
    <phoneticPr fontId="6" type="noConversion"/>
  </si>
  <si>
    <t>Spray</t>
    <phoneticPr fontId="6" type="noConversion"/>
  </si>
  <si>
    <t>Fertiliser</t>
    <phoneticPr fontId="6" type="noConversion"/>
  </si>
  <si>
    <t>Seed purchased</t>
    <phoneticPr fontId="6" type="noConversion"/>
  </si>
  <si>
    <t>Crop Ins</t>
    <phoneticPr fontId="6" type="noConversion"/>
  </si>
  <si>
    <t>Freight</t>
    <phoneticPr fontId="6" type="noConversion"/>
  </si>
  <si>
    <t>Other changes (Except Ins &amp; Freight)</t>
    <phoneticPr fontId="6" type="noConversion"/>
  </si>
  <si>
    <t>Casual labour</t>
    <phoneticPr fontId="6" type="noConversion"/>
  </si>
  <si>
    <t>Seed grading &amp; pickle</t>
    <phoneticPr fontId="6" type="noConversion"/>
  </si>
  <si>
    <t>t</t>
    <phoneticPr fontId="6" type="noConversion"/>
  </si>
  <si>
    <t>t</t>
    <phoneticPr fontId="6" type="noConversion"/>
  </si>
  <si>
    <t>Danny Huang A1754493</t>
    <phoneticPr fontId="6" type="noConversion"/>
  </si>
  <si>
    <t>Danny Huang A1754493</t>
    <phoneticPr fontId="6" type="noConversion"/>
  </si>
  <si>
    <t>Compiled by Danny Huang A1754493</t>
    <phoneticPr fontId="6" type="noConversion"/>
  </si>
  <si>
    <t>Machinery (rent)</t>
    <phoneticPr fontId="6" type="noConversion"/>
  </si>
  <si>
    <t>Freight (total)</t>
    <phoneticPr fontId="6" type="noConversion"/>
  </si>
  <si>
    <t>Crop1 - Wheat</t>
    <phoneticPr fontId="6" type="noConversion"/>
  </si>
  <si>
    <t>Crop2 - Chickpeas</t>
    <phoneticPr fontId="6" type="noConversion"/>
  </si>
  <si>
    <t>TAX RATE 30%</t>
    <phoneticPr fontId="6" type="noConversion"/>
  </si>
  <si>
    <t>Casual Labour</t>
    <phoneticPr fontId="6" type="noConversion"/>
  </si>
  <si>
    <t xml:space="preserve">Tractor driver </t>
    <phoneticPr fontId="6" type="noConversion"/>
  </si>
  <si>
    <t>/hours</t>
    <phoneticPr fontId="6" type="noConversion"/>
  </si>
  <si>
    <t>1 people</t>
    <phoneticPr fontId="6" type="noConversion"/>
  </si>
  <si>
    <t>2 times for 2 crops</t>
    <phoneticPr fontId="6" type="noConversion"/>
  </si>
  <si>
    <t>16 hours</t>
    <phoneticPr fontId="6" type="noConversion"/>
  </si>
  <si>
    <t>Harvesting wheat</t>
    <phoneticPr fontId="6" type="noConversion"/>
  </si>
  <si>
    <t>Harvesting chickpeas</t>
    <phoneticPr fontId="6" type="noConversion"/>
  </si>
  <si>
    <t xml:space="preserve">Spreading </t>
    <phoneticPr fontId="6" type="noConversion"/>
  </si>
  <si>
    <t>Wheat sprays</t>
    <phoneticPr fontId="6" type="noConversion"/>
  </si>
  <si>
    <t>Chickpea sprays</t>
    <phoneticPr fontId="6" type="noConversion"/>
  </si>
  <si>
    <t>Water prepaid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</si>
</sst>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24" formatCode="\$#,##0_);[Red]\(\$#,##0\)"/>
    <numFmt numFmtId="26" formatCode="\$#,##0.00_);[Red]\(\$#,##0.00\)"/>
    <numFmt numFmtId="176" formatCode="General_)"/>
    <numFmt numFmtId="177" formatCode="0_)"/>
    <numFmt numFmtId="178" formatCode="0.00_)"/>
    <numFmt numFmtId="179" formatCode="0.000_)"/>
    <numFmt numFmtId="180" formatCode="_-* #,##0_-;\-* #,##0_-;_-* &quot;-&quot;??_-;_-@_-"/>
    <numFmt numFmtId="181" formatCode="0.0"/>
    <numFmt numFmtId="182" formatCode="dd\-mmm\-yy_)"/>
    <numFmt numFmtId="183" formatCode="0.0_)"/>
    <numFmt numFmtId="184" formatCode="&quot;$&quot;#,##0.00_);\(&quot;$&quot;#,##0.00\)"/>
    <numFmt numFmtId="185" formatCode="&quot;$&quot;#,##0.00_);[Blue]\(&quot;$&quot;#,##0.00\)"/>
  </numFmts>
  <fonts count="15" x14ac:knownFonts="1">
    <font>
      <sz val="11"/>
      <color theme="1"/>
      <name val="DengXian"/>
      <family val="2"/>
      <scheme val="minor"/>
    </font>
    <font>
      <b/>
      <sz val="10"/>
      <name val="Geneva"/>
    </font>
    <font>
      <b/>
      <sz val="10"/>
      <name val="Arial"/>
    </font>
    <font>
      <sz val="9"/>
      <name val="Geneva"/>
    </font>
    <font>
      <sz val="11"/>
      <color theme="1"/>
      <name val="DengXian"/>
      <family val="2"/>
      <scheme val="minor"/>
    </font>
    <font>
      <b/>
      <sz val="12"/>
      <name val="Geneva"/>
    </font>
    <font>
      <sz val="9"/>
      <name val="DengXian"/>
      <family val="2"/>
      <scheme val="minor"/>
    </font>
    <font>
      <sz val="10"/>
      <name val="Geneva"/>
    </font>
    <font>
      <b/>
      <u/>
      <sz val="10"/>
      <name val="Geneva"/>
    </font>
    <font>
      <b/>
      <sz val="9"/>
      <name val="Geneva"/>
    </font>
    <font>
      <sz val="8"/>
      <color indexed="81"/>
      <name val="Tahoma"/>
    </font>
    <font>
      <sz val="10"/>
      <name val="Arial"/>
      <family val="2"/>
    </font>
    <font>
      <b/>
      <sz val="11"/>
      <color theme="1"/>
      <name val="DengXian"/>
      <family val="3"/>
      <charset val="134"/>
      <scheme val="minor"/>
    </font>
    <font>
      <i/>
      <sz val="11"/>
      <color theme="1"/>
      <name val="DengXian"/>
      <family val="3"/>
      <charset val="134"/>
      <scheme val="minor"/>
    </font>
    <font>
      <i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6">
    <xf numFmtId="0" fontId="0" fillId="0" borderId="0" xfId="0"/>
    <xf numFmtId="0" fontId="0" fillId="2" borderId="0" xfId="0" applyFill="1"/>
    <xf numFmtId="176" fontId="1" fillId="2" borderId="0" xfId="0" applyNumberFormat="1" applyFont="1" applyFill="1" applyAlignment="1" applyProtection="1">
      <alignment horizontal="left"/>
    </xf>
    <xf numFmtId="176" fontId="1" fillId="2" borderId="0" xfId="0" applyNumberFormat="1" applyFont="1" applyFill="1" applyProtection="1"/>
    <xf numFmtId="176" fontId="0" fillId="2" borderId="0" xfId="0" applyNumberFormat="1" applyFill="1" applyProtection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17" fontId="2" fillId="2" borderId="0" xfId="0" applyNumberFormat="1" applyFont="1" applyFill="1"/>
    <xf numFmtId="176" fontId="0" fillId="2" borderId="0" xfId="0" applyNumberFormat="1" applyFill="1" applyAlignment="1" applyProtection="1">
      <alignment horizontal="left"/>
    </xf>
    <xf numFmtId="176" fontId="3" fillId="2" borderId="0" xfId="0" applyNumberFormat="1" applyFont="1" applyFill="1" applyAlignment="1" applyProtection="1">
      <alignment horizontal="left"/>
    </xf>
    <xf numFmtId="176" fontId="0" fillId="2" borderId="1" xfId="0" applyNumberFormat="1" applyFill="1" applyBorder="1" applyProtection="1"/>
    <xf numFmtId="176" fontId="0" fillId="2" borderId="2" xfId="0" applyNumberFormat="1" applyFill="1" applyBorder="1" applyAlignment="1" applyProtection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/>
    <xf numFmtId="0" fontId="0" fillId="2" borderId="9" xfId="0" applyFill="1" applyBorder="1"/>
    <xf numFmtId="176" fontId="0" fillId="2" borderId="4" xfId="0" applyNumberFormat="1" applyFill="1" applyBorder="1" applyAlignment="1" applyProtection="1">
      <alignment horizontal="left"/>
    </xf>
    <xf numFmtId="176" fontId="0" fillId="2" borderId="5" xfId="0" applyNumberFormat="1" applyFill="1" applyBorder="1" applyAlignment="1" applyProtection="1">
      <alignment horizontal="left"/>
    </xf>
    <xf numFmtId="0" fontId="0" fillId="2" borderId="0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176" fontId="0" fillId="2" borderId="5" xfId="0" applyNumberFormat="1" applyFill="1" applyBorder="1" applyAlignment="1" applyProtection="1">
      <alignment horizontal="left"/>
      <protection locked="0"/>
    </xf>
    <xf numFmtId="177" fontId="0" fillId="2" borderId="4" xfId="0" applyNumberFormat="1" applyFill="1" applyBorder="1" applyProtection="1">
      <protection locked="0"/>
    </xf>
    <xf numFmtId="176" fontId="0" fillId="2" borderId="4" xfId="0" applyNumberFormat="1" applyFill="1" applyBorder="1" applyAlignment="1" applyProtection="1">
      <alignment horizontal="left"/>
      <protection locked="0"/>
    </xf>
    <xf numFmtId="179" fontId="0" fillId="2" borderId="4" xfId="0" applyNumberFormat="1" applyFill="1" applyBorder="1" applyProtection="1"/>
    <xf numFmtId="0" fontId="0" fillId="2" borderId="4" xfId="0" applyFill="1" applyBorder="1" applyProtection="1">
      <protection locked="0"/>
    </xf>
    <xf numFmtId="176" fontId="0" fillId="2" borderId="10" xfId="0" applyNumberFormat="1" applyFill="1" applyBorder="1" applyAlignment="1" applyProtection="1">
      <alignment horizontal="left"/>
    </xf>
    <xf numFmtId="176" fontId="0" fillId="2" borderId="11" xfId="0" applyNumberFormat="1" applyFill="1" applyBorder="1" applyAlignment="1" applyProtection="1">
      <alignment horizontal="left"/>
    </xf>
    <xf numFmtId="0" fontId="0" fillId="2" borderId="8" xfId="0" applyFill="1" applyBorder="1"/>
    <xf numFmtId="176" fontId="0" fillId="2" borderId="8" xfId="0" applyNumberFormat="1" applyFill="1" applyBorder="1" applyAlignment="1" applyProtection="1">
      <alignment horizontal="left"/>
    </xf>
    <xf numFmtId="0" fontId="0" fillId="2" borderId="1" xfId="0" applyFill="1" applyBorder="1"/>
    <xf numFmtId="0" fontId="0" fillId="2" borderId="3" xfId="0" applyFill="1" applyBorder="1"/>
    <xf numFmtId="176" fontId="5" fillId="2" borderId="0" xfId="0" applyNumberFormat="1" applyFont="1" applyFill="1" applyAlignment="1" applyProtection="1">
      <alignment horizontal="left"/>
    </xf>
    <xf numFmtId="176" fontId="5" fillId="2" borderId="0" xfId="0" applyNumberFormat="1" applyFont="1" applyFill="1" applyProtection="1"/>
    <xf numFmtId="17" fontId="2" fillId="2" borderId="0" xfId="0" applyNumberFormat="1" applyFont="1" applyFill="1" applyProtection="1"/>
    <xf numFmtId="176" fontId="7" fillId="2" borderId="0" xfId="0" applyNumberFormat="1" applyFont="1" applyFill="1" applyProtection="1"/>
    <xf numFmtId="0" fontId="0" fillId="2" borderId="7" xfId="0" applyFill="1" applyBorder="1"/>
    <xf numFmtId="176" fontId="0" fillId="2" borderId="12" xfId="0" applyNumberFormat="1" applyFill="1" applyBorder="1" applyAlignment="1" applyProtection="1">
      <alignment horizontal="left"/>
    </xf>
    <xf numFmtId="17" fontId="0" fillId="2" borderId="12" xfId="0" applyNumberFormat="1" applyFill="1" applyBorder="1"/>
    <xf numFmtId="0" fontId="0" fillId="2" borderId="2" xfId="0" applyFill="1" applyBorder="1"/>
    <xf numFmtId="176" fontId="0" fillId="2" borderId="13" xfId="0" applyNumberFormat="1" applyFill="1" applyBorder="1" applyAlignment="1" applyProtection="1">
      <alignment horizontal="left"/>
    </xf>
    <xf numFmtId="0" fontId="0" fillId="2" borderId="13" xfId="0" applyFill="1" applyBorder="1"/>
    <xf numFmtId="176" fontId="8" fillId="2" borderId="0" xfId="0" applyNumberFormat="1" applyFont="1" applyFill="1" applyAlignment="1" applyProtection="1">
      <alignment horizontal="left"/>
    </xf>
    <xf numFmtId="180" fontId="0" fillId="2" borderId="14" xfId="1" applyNumberFormat="1" applyFont="1" applyFill="1" applyBorder="1" applyAlignment="1" applyProtection="1">
      <alignment horizontal="left"/>
    </xf>
    <xf numFmtId="0" fontId="0" fillId="2" borderId="14" xfId="0" applyFill="1" applyBorder="1" applyProtection="1">
      <protection locked="0"/>
    </xf>
    <xf numFmtId="180" fontId="0" fillId="2" borderId="14" xfId="1" applyNumberFormat="1" applyFont="1" applyFill="1" applyBorder="1"/>
    <xf numFmtId="0" fontId="0" fillId="2" borderId="0" xfId="0" applyFill="1" applyProtection="1"/>
    <xf numFmtId="0" fontId="0" fillId="2" borderId="14" xfId="0" applyFill="1" applyBorder="1" applyProtection="1"/>
    <xf numFmtId="0" fontId="0" fillId="2" borderId="0" xfId="0" applyFill="1" applyProtection="1">
      <protection locked="0"/>
    </xf>
    <xf numFmtId="180" fontId="0" fillId="2" borderId="14" xfId="1" applyNumberFormat="1" applyFont="1" applyFill="1" applyBorder="1" applyProtection="1"/>
    <xf numFmtId="0" fontId="0" fillId="2" borderId="5" xfId="0" applyFill="1" applyBorder="1" applyProtection="1">
      <protection locked="0"/>
    </xf>
    <xf numFmtId="176" fontId="9" fillId="2" borderId="10" xfId="0" applyNumberFormat="1" applyFont="1" applyFill="1" applyBorder="1" applyAlignment="1" applyProtection="1">
      <alignment horizontal="left"/>
    </xf>
    <xf numFmtId="176" fontId="9" fillId="2" borderId="9" xfId="0" applyNumberFormat="1" applyFont="1" applyFill="1" applyBorder="1" applyAlignment="1" applyProtection="1">
      <alignment horizontal="left"/>
    </xf>
    <xf numFmtId="180" fontId="0" fillId="2" borderId="15" xfId="1" applyNumberFormat="1" applyFont="1" applyFill="1" applyBorder="1" applyProtection="1"/>
    <xf numFmtId="176" fontId="0" fillId="2" borderId="15" xfId="0" applyNumberFormat="1" applyFill="1" applyBorder="1" applyProtection="1"/>
    <xf numFmtId="176" fontId="0" fillId="2" borderId="9" xfId="0" applyNumberFormat="1" applyFill="1" applyBorder="1" applyProtection="1"/>
    <xf numFmtId="0" fontId="0" fillId="2" borderId="14" xfId="0" applyFill="1" applyBorder="1"/>
    <xf numFmtId="176" fontId="1" fillId="2" borderId="10" xfId="0" applyNumberFormat="1" applyFont="1" applyFill="1" applyBorder="1" applyAlignment="1" applyProtection="1">
      <alignment horizontal="left"/>
    </xf>
    <xf numFmtId="180" fontId="0" fillId="2" borderId="15" xfId="1" applyNumberFormat="1" applyFont="1" applyFill="1" applyBorder="1"/>
    <xf numFmtId="0" fontId="0" fillId="2" borderId="15" xfId="0" applyFill="1" applyBorder="1"/>
    <xf numFmtId="176" fontId="0" fillId="2" borderId="14" xfId="0" applyNumberFormat="1" applyFill="1" applyBorder="1" applyAlignment="1" applyProtection="1">
      <alignment horizontal="left"/>
    </xf>
    <xf numFmtId="176" fontId="1" fillId="2" borderId="16" xfId="0" applyNumberFormat="1" applyFont="1" applyFill="1" applyBorder="1" applyAlignment="1" applyProtection="1">
      <alignment horizontal="left"/>
    </xf>
    <xf numFmtId="180" fontId="0" fillId="2" borderId="17" xfId="1" applyNumberFormat="1" applyFont="1" applyFill="1" applyBorder="1"/>
    <xf numFmtId="0" fontId="0" fillId="2" borderId="17" xfId="0" applyFill="1" applyBorder="1"/>
    <xf numFmtId="176" fontId="0" fillId="2" borderId="17" xfId="0" applyNumberFormat="1" applyFill="1" applyBorder="1" applyProtection="1"/>
    <xf numFmtId="176" fontId="0" fillId="2" borderId="16" xfId="0" applyNumberFormat="1" applyFill="1" applyBorder="1" applyProtection="1"/>
    <xf numFmtId="180" fontId="0" fillId="2" borderId="0" xfId="1" applyNumberFormat="1" applyFont="1" applyFill="1"/>
    <xf numFmtId="176" fontId="1" fillId="2" borderId="1" xfId="0" applyNumberFormat="1" applyFont="1" applyFill="1" applyBorder="1" applyAlignment="1" applyProtection="1">
      <alignment horizontal="left"/>
    </xf>
    <xf numFmtId="180" fontId="1" fillId="2" borderId="1" xfId="1" applyNumberFormat="1" applyFont="1" applyFill="1" applyBorder="1" applyProtection="1"/>
    <xf numFmtId="180" fontId="0" fillId="2" borderId="14" xfId="1" applyNumberFormat="1" applyFont="1" applyFill="1" applyBorder="1" applyProtection="1">
      <protection locked="0"/>
    </xf>
    <xf numFmtId="0" fontId="3" fillId="2" borderId="0" xfId="0" applyFont="1" applyFill="1"/>
    <xf numFmtId="176" fontId="3" fillId="2" borderId="1" xfId="0" applyNumberFormat="1" applyFont="1" applyFill="1" applyBorder="1" applyAlignment="1" applyProtection="1">
      <alignment horizontal="left"/>
    </xf>
    <xf numFmtId="180" fontId="0" fillId="2" borderId="13" xfId="1" applyNumberFormat="1" applyFont="1" applyFill="1" applyBorder="1" applyProtection="1"/>
    <xf numFmtId="0" fontId="3" fillId="2" borderId="1" xfId="0" applyFont="1" applyFill="1" applyBorder="1"/>
    <xf numFmtId="180" fontId="0" fillId="2" borderId="13" xfId="1" applyNumberFormat="1" applyFont="1" applyFill="1" applyBorder="1" applyProtection="1">
      <protection locked="0"/>
    </xf>
    <xf numFmtId="176" fontId="3" fillId="2" borderId="0" xfId="0" applyNumberFormat="1" applyFont="1" applyFill="1" applyProtection="1"/>
    <xf numFmtId="180" fontId="0" fillId="2" borderId="0" xfId="1" applyNumberFormat="1" applyFont="1" applyFill="1" applyBorder="1" applyProtection="1"/>
    <xf numFmtId="176" fontId="7" fillId="2" borderId="0" xfId="0" applyNumberFormat="1" applyFont="1" applyFill="1" applyAlignment="1" applyProtection="1">
      <alignment horizontal="left"/>
    </xf>
    <xf numFmtId="176" fontId="1" fillId="2" borderId="15" xfId="0" applyNumberFormat="1" applyFont="1" applyFill="1" applyBorder="1" applyAlignment="1" applyProtection="1">
      <alignment horizontal="left"/>
    </xf>
    <xf numFmtId="176" fontId="1" fillId="2" borderId="17" xfId="0" applyNumberFormat="1" applyFont="1" applyFill="1" applyBorder="1" applyAlignment="1" applyProtection="1">
      <alignment horizontal="left"/>
    </xf>
    <xf numFmtId="180" fontId="0" fillId="2" borderId="17" xfId="1" applyNumberFormat="1" applyFont="1" applyFill="1" applyBorder="1" applyProtection="1"/>
    <xf numFmtId="0" fontId="0" fillId="2" borderId="15" xfId="0" applyFill="1" applyBorder="1" applyProtection="1">
      <protection locked="0"/>
    </xf>
    <xf numFmtId="176" fontId="0" fillId="2" borderId="18" xfId="0" applyNumberFormat="1" applyFill="1" applyBorder="1" applyAlignment="1" applyProtection="1">
      <alignment horizontal="left"/>
    </xf>
    <xf numFmtId="176" fontId="0" fillId="2" borderId="19" xfId="0" applyNumberFormat="1" applyFill="1" applyBorder="1" applyAlignment="1" applyProtection="1">
      <alignment horizontal="left"/>
    </xf>
    <xf numFmtId="180" fontId="0" fillId="2" borderId="19" xfId="1" applyNumberFormat="1" applyFont="1" applyFill="1" applyBorder="1"/>
    <xf numFmtId="180" fontId="0" fillId="2" borderId="20" xfId="1" applyNumberFormat="1" applyFont="1" applyFill="1" applyBorder="1"/>
    <xf numFmtId="15" fontId="0" fillId="2" borderId="0" xfId="0" applyNumberFormat="1" applyFill="1"/>
    <xf numFmtId="176" fontId="3" fillId="2" borderId="0" xfId="0" applyNumberFormat="1" applyFont="1" applyFill="1" applyAlignment="1" applyProtection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5" xfId="0" applyFill="1" applyBorder="1"/>
    <xf numFmtId="0" fontId="0" fillId="2" borderId="4" xfId="0" applyFill="1" applyBorder="1"/>
    <xf numFmtId="1" fontId="0" fillId="2" borderId="4" xfId="0" applyNumberFormat="1" applyFill="1" applyBorder="1"/>
    <xf numFmtId="180" fontId="0" fillId="2" borderId="21" xfId="0" applyNumberFormat="1" applyFill="1" applyBorder="1"/>
    <xf numFmtId="180" fontId="0" fillId="2" borderId="11" xfId="0" applyNumberFormat="1" applyFill="1" applyBorder="1"/>
    <xf numFmtId="176" fontId="2" fillId="2" borderId="0" xfId="0" applyNumberFormat="1" applyFont="1" applyFill="1" applyAlignment="1" applyProtection="1">
      <alignment horizontal="left"/>
    </xf>
    <xf numFmtId="176" fontId="2" fillId="2" borderId="0" xfId="0" applyNumberFormat="1" applyFont="1" applyFill="1" applyProtection="1"/>
    <xf numFmtId="176" fontId="11" fillId="2" borderId="0" xfId="0" applyNumberFormat="1" applyFont="1" applyFill="1" applyProtection="1"/>
    <xf numFmtId="176" fontId="1" fillId="2" borderId="9" xfId="0" applyNumberFormat="1" applyFont="1" applyFill="1" applyBorder="1" applyAlignment="1" applyProtection="1">
      <alignment horizontal="left"/>
    </xf>
    <xf numFmtId="176" fontId="0" fillId="2" borderId="15" xfId="0" applyNumberFormat="1" applyFill="1" applyBorder="1" applyAlignment="1" applyProtection="1">
      <alignment horizontal="left" wrapText="1"/>
    </xf>
    <xf numFmtId="176" fontId="0" fillId="2" borderId="9" xfId="0" applyNumberFormat="1" applyFill="1" applyBorder="1" applyAlignment="1" applyProtection="1">
      <alignment horizontal="center" vertical="center" wrapText="1"/>
    </xf>
    <xf numFmtId="176" fontId="0" fillId="2" borderId="1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176" fontId="1" fillId="2" borderId="22" xfId="0" applyNumberFormat="1" applyFont="1" applyFill="1" applyBorder="1" applyAlignment="1" applyProtection="1">
      <alignment horizontal="left"/>
    </xf>
    <xf numFmtId="176" fontId="0" fillId="2" borderId="22" xfId="0" applyNumberFormat="1" applyFill="1" applyBorder="1" applyAlignment="1" applyProtection="1">
      <alignment horizontal="left"/>
    </xf>
    <xf numFmtId="176" fontId="0" fillId="2" borderId="23" xfId="0" applyNumberFormat="1" applyFill="1" applyBorder="1" applyAlignment="1" applyProtection="1">
      <alignment horizontal="right"/>
    </xf>
    <xf numFmtId="176" fontId="0" fillId="2" borderId="23" xfId="0" applyNumberFormat="1" applyFill="1" applyBorder="1" applyAlignment="1" applyProtection="1">
      <alignment horizontal="center"/>
    </xf>
    <xf numFmtId="0" fontId="0" fillId="2" borderId="23" xfId="0" applyFill="1" applyBorder="1"/>
    <xf numFmtId="0" fontId="1" fillId="2" borderId="1" xfId="0" applyFont="1" applyFill="1" applyBorder="1"/>
    <xf numFmtId="1" fontId="0" fillId="2" borderId="13" xfId="0" applyNumberFormat="1" applyFill="1" applyBorder="1"/>
    <xf numFmtId="1" fontId="0" fillId="2" borderId="13" xfId="0" applyNumberFormat="1" applyFill="1" applyBorder="1" applyAlignment="1" applyProtection="1">
      <alignment horizontal="right"/>
    </xf>
    <xf numFmtId="181" fontId="1" fillId="2" borderId="13" xfId="0" applyNumberFormat="1" applyFont="1" applyFill="1" applyBorder="1"/>
    <xf numFmtId="177" fontId="1" fillId="2" borderId="15" xfId="0" applyNumberFormat="1" applyFont="1" applyFill="1" applyBorder="1" applyAlignment="1" applyProtection="1">
      <alignment horizontal="center"/>
    </xf>
    <xf numFmtId="177" fontId="1" fillId="2" borderId="13" xfId="0" applyNumberFormat="1" applyFont="1" applyFill="1" applyBorder="1" applyAlignment="1" applyProtection="1">
      <alignment horizontal="right"/>
    </xf>
    <xf numFmtId="177" fontId="0" fillId="2" borderId="12" xfId="0" applyNumberFormat="1" applyFill="1" applyBorder="1" applyProtection="1"/>
    <xf numFmtId="177" fontId="0" fillId="2" borderId="14" xfId="0" applyNumberFormat="1" applyFill="1" applyBorder="1" applyAlignment="1" applyProtection="1">
      <alignment horizontal="right"/>
    </xf>
    <xf numFmtId="177" fontId="2" fillId="2" borderId="15" xfId="0" applyNumberFormat="1" applyFont="1" applyFill="1" applyBorder="1" applyProtection="1"/>
    <xf numFmtId="177" fontId="0" fillId="2" borderId="0" xfId="0" applyNumberFormat="1" applyFill="1" applyProtection="1"/>
    <xf numFmtId="177" fontId="1" fillId="2" borderId="17" xfId="0" applyNumberFormat="1" applyFont="1" applyFill="1" applyBorder="1" applyProtection="1"/>
    <xf numFmtId="0" fontId="5" fillId="2" borderId="0" xfId="0" applyFont="1" applyFill="1"/>
    <xf numFmtId="0" fontId="5" fillId="2" borderId="14" xfId="0" applyFont="1" applyFill="1" applyBorder="1"/>
    <xf numFmtId="177" fontId="0" fillId="2" borderId="14" xfId="0" applyNumberFormat="1" applyFill="1" applyBorder="1" applyProtection="1"/>
    <xf numFmtId="0" fontId="1" fillId="2" borderId="0" xfId="0" applyFont="1" applyFill="1"/>
    <xf numFmtId="0" fontId="0" fillId="2" borderId="14" xfId="0" applyFill="1" applyBorder="1" applyAlignment="1">
      <alignment horizontal="right"/>
    </xf>
    <xf numFmtId="176" fontId="11" fillId="2" borderId="0" xfId="0" applyNumberFormat="1" applyFont="1" applyFill="1" applyAlignment="1" applyProtection="1">
      <alignment horizontal="left"/>
    </xf>
    <xf numFmtId="0" fontId="11" fillId="2" borderId="0" xfId="0" applyFont="1" applyFill="1"/>
    <xf numFmtId="177" fontId="1" fillId="2" borderId="14" xfId="0" applyNumberFormat="1" applyFont="1" applyFill="1" applyBorder="1" applyProtection="1"/>
    <xf numFmtId="9" fontId="0" fillId="2" borderId="0" xfId="2" applyFont="1" applyFill="1" applyProtection="1">
      <protection locked="0"/>
    </xf>
    <xf numFmtId="177" fontId="1" fillId="2" borderId="13" xfId="0" applyNumberFormat="1" applyFont="1" applyFill="1" applyBorder="1" applyProtection="1"/>
    <xf numFmtId="177" fontId="0" fillId="2" borderId="0" xfId="0" applyNumberFormat="1" applyFill="1" applyBorder="1" applyAlignment="1" applyProtection="1">
      <alignment horizontal="right"/>
    </xf>
    <xf numFmtId="176" fontId="1" fillId="2" borderId="0" xfId="0" quotePrefix="1" applyNumberFormat="1" applyFont="1" applyFill="1" applyAlignment="1" applyProtection="1">
      <alignment horizontal="left"/>
    </xf>
    <xf numFmtId="0" fontId="11" fillId="2" borderId="0" xfId="0" applyFont="1" applyFill="1" applyAlignment="1">
      <alignment horizontal="center"/>
    </xf>
    <xf numFmtId="176" fontId="0" fillId="2" borderId="12" xfId="0" applyNumberFormat="1" applyFill="1" applyBorder="1" applyAlignment="1" applyProtection="1">
      <alignment horizontal="center"/>
    </xf>
    <xf numFmtId="176" fontId="0" fillId="2" borderId="7" xfId="0" applyNumberFormat="1" applyFill="1" applyBorder="1" applyAlignment="1" applyProtection="1">
      <alignment horizontal="centerContinuous"/>
    </xf>
    <xf numFmtId="0" fontId="0" fillId="2" borderId="8" xfId="0" applyFill="1" applyBorder="1" applyAlignment="1">
      <alignment horizontal="centerContinuous"/>
    </xf>
    <xf numFmtId="182" fontId="0" fillId="2" borderId="15" xfId="0" applyNumberFormat="1" applyFill="1" applyBorder="1" applyAlignment="1" applyProtection="1">
      <alignment horizontal="center"/>
      <protection locked="0"/>
    </xf>
    <xf numFmtId="176" fontId="0" fillId="2" borderId="13" xfId="0" applyNumberFormat="1" applyFill="1" applyBorder="1" applyAlignment="1" applyProtection="1">
      <alignment horizontal="center"/>
    </xf>
    <xf numFmtId="176" fontId="0" fillId="2" borderId="0" xfId="0" applyNumberFormat="1" applyFill="1" applyAlignment="1" applyProtection="1">
      <alignment horizontal="left"/>
      <protection locked="0"/>
    </xf>
    <xf numFmtId="4" fontId="0" fillId="2" borderId="14" xfId="0" applyNumberFormat="1" applyFill="1" applyBorder="1" applyProtection="1"/>
    <xf numFmtId="0" fontId="7" fillId="2" borderId="10" xfId="0" applyNumberFormat="1" applyFont="1" applyFill="1" applyBorder="1" applyProtection="1"/>
    <xf numFmtId="0" fontId="1" fillId="2" borderId="10" xfId="0" applyNumberFormat="1" applyFont="1" applyFill="1" applyBorder="1" applyProtection="1"/>
    <xf numFmtId="176" fontId="0" fillId="2" borderId="11" xfId="0" applyNumberFormat="1" applyFill="1" applyBorder="1" applyAlignment="1" applyProtection="1">
      <alignment horizontal="left"/>
      <protection locked="0"/>
    </xf>
    <xf numFmtId="176" fontId="3" fillId="3" borderId="10" xfId="0" applyNumberFormat="1" applyFont="1" applyFill="1" applyBorder="1" applyAlignment="1" applyProtection="1">
      <alignment horizontal="left"/>
    </xf>
    <xf numFmtId="176" fontId="3" fillId="3" borderId="11" xfId="0" applyNumberFormat="1" applyFont="1" applyFill="1" applyBorder="1" applyAlignment="1" applyProtection="1">
      <alignment horizontal="left"/>
    </xf>
    <xf numFmtId="177" fontId="1" fillId="2" borderId="15" xfId="0" applyNumberFormat="1" applyFont="1" applyFill="1" applyBorder="1" applyProtection="1"/>
    <xf numFmtId="176" fontId="0" fillId="2" borderId="14" xfId="0" applyNumberFormat="1" applyFill="1" applyBorder="1" applyAlignment="1" applyProtection="1">
      <alignment horizontal="right"/>
      <protection locked="0"/>
    </xf>
    <xf numFmtId="176" fontId="3" fillId="3" borderId="14" xfId="0" applyNumberFormat="1" applyFont="1" applyFill="1" applyBorder="1" applyAlignment="1" applyProtection="1">
      <alignment horizontal="left"/>
    </xf>
    <xf numFmtId="176" fontId="3" fillId="3" borderId="4" xfId="0" applyNumberFormat="1" applyFont="1" applyFill="1" applyBorder="1" applyAlignment="1" applyProtection="1">
      <alignment horizontal="left"/>
    </xf>
    <xf numFmtId="176" fontId="3" fillId="3" borderId="5" xfId="0" applyNumberFormat="1" applyFont="1" applyFill="1" applyBorder="1" applyAlignment="1" applyProtection="1">
      <alignment horizontal="left"/>
    </xf>
    <xf numFmtId="176" fontId="3" fillId="3" borderId="2" xfId="0" applyNumberFormat="1" applyFont="1" applyFill="1" applyBorder="1" applyAlignment="1" applyProtection="1">
      <alignment horizontal="left"/>
    </xf>
    <xf numFmtId="176" fontId="3" fillId="3" borderId="3" xfId="0" applyNumberFormat="1" applyFont="1" applyFill="1" applyBorder="1" applyAlignment="1" applyProtection="1">
      <alignment horizontal="left"/>
    </xf>
    <xf numFmtId="176" fontId="0" fillId="2" borderId="9" xfId="0" applyNumberFormat="1" applyFill="1" applyBorder="1" applyAlignment="1" applyProtection="1">
      <alignment horizontal="left"/>
    </xf>
    <xf numFmtId="176" fontId="3" fillId="3" borderId="15" xfId="0" applyNumberFormat="1" applyFont="1" applyFill="1" applyBorder="1" applyAlignment="1" applyProtection="1">
      <alignment horizontal="left"/>
    </xf>
    <xf numFmtId="176" fontId="0" fillId="2" borderId="7" xfId="0" applyNumberFormat="1" applyFill="1" applyBorder="1" applyProtection="1">
      <protection locked="0"/>
    </xf>
    <xf numFmtId="176" fontId="0" fillId="2" borderId="8" xfId="0" applyNumberFormat="1" applyFill="1" applyBorder="1" applyAlignment="1" applyProtection="1">
      <alignment horizontal="left"/>
      <protection locked="0"/>
    </xf>
    <xf numFmtId="176" fontId="0" fillId="2" borderId="14" xfId="0" applyNumberFormat="1" applyFill="1" applyBorder="1" applyAlignment="1" applyProtection="1">
      <alignment horizontal="left"/>
      <protection locked="0"/>
    </xf>
    <xf numFmtId="178" fontId="0" fillId="2" borderId="14" xfId="0" applyNumberFormat="1" applyFill="1" applyBorder="1" applyAlignment="1" applyProtection="1">
      <alignment horizontal="left"/>
    </xf>
    <xf numFmtId="177" fontId="0" fillId="2" borderId="14" xfId="0" applyNumberFormat="1" applyFill="1" applyBorder="1" applyAlignment="1" applyProtection="1">
      <alignment horizontal="left"/>
    </xf>
    <xf numFmtId="176" fontId="1" fillId="2" borderId="0" xfId="0" applyNumberFormat="1" applyFont="1" applyFill="1" applyAlignment="1" applyProtection="1">
      <alignment horizontal="center"/>
    </xf>
    <xf numFmtId="178" fontId="0" fillId="2" borderId="14" xfId="0" applyNumberFormat="1" applyFill="1" applyBorder="1" applyProtection="1"/>
    <xf numFmtId="0" fontId="0" fillId="2" borderId="0" xfId="0" applyFill="1" applyAlignment="1" applyProtection="1">
      <alignment horizontal="center"/>
      <protection locked="0"/>
    </xf>
    <xf numFmtId="178" fontId="0" fillId="2" borderId="4" xfId="0" applyNumberFormat="1" applyFill="1" applyBorder="1" applyProtection="1"/>
    <xf numFmtId="176" fontId="0" fillId="2" borderId="14" xfId="0" applyNumberFormat="1" applyFill="1" applyBorder="1" applyAlignment="1" applyProtection="1">
      <alignment horizontal="right"/>
    </xf>
    <xf numFmtId="177" fontId="0" fillId="2" borderId="4" xfId="0" applyNumberFormat="1" applyFill="1" applyBorder="1" applyAlignment="1" applyProtection="1">
      <alignment horizontal="left"/>
    </xf>
    <xf numFmtId="178" fontId="0" fillId="2" borderId="4" xfId="0" applyNumberFormat="1" applyFill="1" applyBorder="1" applyAlignment="1" applyProtection="1">
      <alignment horizontal="left"/>
    </xf>
    <xf numFmtId="183" fontId="0" fillId="2" borderId="4" xfId="0" applyNumberFormat="1" applyFill="1" applyBorder="1" applyProtection="1"/>
    <xf numFmtId="178" fontId="0" fillId="2" borderId="4" xfId="0" applyNumberFormat="1" applyFill="1" applyBorder="1" applyProtection="1">
      <protection locked="0"/>
    </xf>
    <xf numFmtId="178" fontId="0" fillId="2" borderId="4" xfId="0" applyNumberFormat="1" applyFill="1" applyBorder="1" applyAlignment="1" applyProtection="1">
      <alignment horizontal="right"/>
      <protection locked="0"/>
    </xf>
    <xf numFmtId="176" fontId="0" fillId="2" borderId="13" xfId="0" applyNumberFormat="1" applyFill="1" applyBorder="1" applyAlignment="1" applyProtection="1">
      <alignment horizontal="left"/>
      <protection locked="0"/>
    </xf>
    <xf numFmtId="176" fontId="0" fillId="2" borderId="2" xfId="0" applyNumberFormat="1" applyFill="1" applyBorder="1" applyAlignment="1" applyProtection="1">
      <alignment horizontal="left"/>
      <protection locked="0"/>
    </xf>
    <xf numFmtId="176" fontId="0" fillId="2" borderId="3" xfId="0" applyNumberFormat="1" applyFill="1" applyBorder="1" applyAlignment="1" applyProtection="1">
      <alignment horizontal="left"/>
      <protection locked="0"/>
    </xf>
    <xf numFmtId="176" fontId="0" fillId="2" borderId="2" xfId="0" applyNumberFormat="1" applyFill="1" applyBorder="1" applyAlignment="1" applyProtection="1">
      <alignment horizontal="right"/>
      <protection locked="0"/>
    </xf>
    <xf numFmtId="177" fontId="0" fillId="2" borderId="13" xfId="0" applyNumberFormat="1" applyFill="1" applyBorder="1" applyAlignment="1" applyProtection="1">
      <alignment horizontal="right"/>
    </xf>
    <xf numFmtId="177" fontId="0" fillId="2" borderId="13" xfId="0" applyNumberFormat="1" applyFill="1" applyBorder="1" applyAlignment="1" applyProtection="1">
      <alignment horizontal="left"/>
    </xf>
    <xf numFmtId="177" fontId="1" fillId="2" borderId="16" xfId="0" applyNumberFormat="1" applyFont="1" applyFill="1" applyBorder="1" applyProtection="1"/>
    <xf numFmtId="177" fontId="0" fillId="2" borderId="0" xfId="0" applyNumberFormat="1" applyFill="1" applyAlignment="1" applyProtection="1">
      <alignment horizontal="left"/>
    </xf>
    <xf numFmtId="178" fontId="0" fillId="2" borderId="0" xfId="0" applyNumberFormat="1" applyFill="1" applyAlignment="1" applyProtection="1">
      <alignment horizontal="center"/>
    </xf>
    <xf numFmtId="177" fontId="1" fillId="2" borderId="18" xfId="0" applyNumberFormat="1" applyFont="1" applyFill="1" applyBorder="1" applyProtection="1"/>
    <xf numFmtId="177" fontId="1" fillId="2" borderId="24" xfId="0" applyNumberFormat="1" applyFont="1" applyFill="1" applyBorder="1" applyProtection="1"/>
    <xf numFmtId="177" fontId="1" fillId="2" borderId="0" xfId="0" applyNumberFormat="1" applyFont="1" applyFill="1" applyBorder="1" applyProtection="1"/>
    <xf numFmtId="4" fontId="1" fillId="2" borderId="15" xfId="0" applyNumberFormat="1" applyFont="1" applyFill="1" applyBorder="1" applyProtection="1"/>
    <xf numFmtId="0" fontId="12" fillId="2" borderId="4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178" fontId="12" fillId="2" borderId="4" xfId="0" applyNumberFormat="1" applyFont="1" applyFill="1" applyBorder="1" applyProtection="1"/>
    <xf numFmtId="176" fontId="12" fillId="2" borderId="5" xfId="0" applyNumberFormat="1" applyFont="1" applyFill="1" applyBorder="1" applyAlignment="1" applyProtection="1">
      <alignment horizontal="left"/>
      <protection locked="0"/>
    </xf>
    <xf numFmtId="0" fontId="12" fillId="0" borderId="0" xfId="0" applyFont="1"/>
    <xf numFmtId="176" fontId="12" fillId="2" borderId="0" xfId="0" applyNumberFormat="1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  <protection locked="0"/>
    </xf>
    <xf numFmtId="176" fontId="14" fillId="2" borderId="0" xfId="0" applyNumberFormat="1" applyFont="1" applyFill="1" applyAlignment="1" applyProtection="1">
      <alignment horizontal="left"/>
    </xf>
    <xf numFmtId="176" fontId="12" fillId="2" borderId="0" xfId="0" applyNumberFormat="1" applyFont="1" applyFill="1" applyAlignment="1" applyProtection="1">
      <alignment horizontal="left"/>
      <protection locked="0"/>
    </xf>
    <xf numFmtId="182" fontId="12" fillId="2" borderId="0" xfId="0" applyNumberFormat="1" applyFont="1" applyFill="1" applyAlignment="1" applyProtection="1">
      <protection locked="0"/>
    </xf>
    <xf numFmtId="176" fontId="12" fillId="2" borderId="0" xfId="0" applyNumberFormat="1" applyFont="1" applyFill="1" applyProtection="1"/>
    <xf numFmtId="183" fontId="0" fillId="2" borderId="4" xfId="0" applyNumberFormat="1" applyFill="1" applyBorder="1" applyProtection="1">
      <protection locked="0"/>
    </xf>
    <xf numFmtId="183" fontId="0" fillId="2" borderId="4" xfId="0" applyNumberFormat="1" applyFill="1" applyBorder="1" applyAlignment="1" applyProtection="1">
      <alignment horizontal="right"/>
      <protection locked="0"/>
    </xf>
    <xf numFmtId="178" fontId="0" fillId="2" borderId="14" xfId="0" applyNumberForma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  <protection locked="0"/>
    </xf>
    <xf numFmtId="176" fontId="0" fillId="2" borderId="0" xfId="0" applyNumberFormat="1" applyFont="1" applyFill="1" applyAlignment="1" applyProtection="1">
      <alignment horizontal="left"/>
      <protection locked="0"/>
    </xf>
    <xf numFmtId="182" fontId="0" fillId="2" borderId="0" xfId="0" applyNumberFormat="1" applyFont="1" applyFill="1" applyAlignment="1" applyProtection="1">
      <alignment horizontal="center"/>
      <protection locked="0"/>
    </xf>
    <xf numFmtId="176" fontId="0" fillId="2" borderId="0" xfId="0" applyNumberFormat="1" applyFont="1" applyFill="1" applyAlignment="1" applyProtection="1">
      <protection locked="0"/>
    </xf>
    <xf numFmtId="4" fontId="3" fillId="3" borderId="14" xfId="0" applyNumberFormat="1" applyFont="1" applyFill="1" applyBorder="1" applyAlignment="1" applyProtection="1">
      <alignment horizontal="left"/>
    </xf>
    <xf numFmtId="4" fontId="0" fillId="2" borderId="15" xfId="0" applyNumberFormat="1" applyFill="1" applyBorder="1" applyProtection="1"/>
    <xf numFmtId="4" fontId="1" fillId="2" borderId="17" xfId="0" applyNumberFormat="1" applyFont="1" applyFill="1" applyBorder="1" applyProtection="1"/>
    <xf numFmtId="4" fontId="0" fillId="2" borderId="14" xfId="0" applyNumberForma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176" fontId="0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76" fontId="0" fillId="2" borderId="5" xfId="0" applyNumberFormat="1" applyFill="1" applyBorder="1" applyAlignment="1" applyProtection="1">
      <alignment horizontal="left"/>
      <protection locked="0"/>
    </xf>
    <xf numFmtId="4" fontId="12" fillId="2" borderId="4" xfId="0" applyNumberFormat="1" applyFont="1" applyFill="1" applyBorder="1" applyAlignment="1" applyProtection="1"/>
    <xf numFmtId="4" fontId="12" fillId="2" borderId="5" xfId="0" applyNumberFormat="1" applyFont="1" applyFill="1" applyBorder="1" applyAlignment="1" applyProtection="1"/>
    <xf numFmtId="178" fontId="0" fillId="2" borderId="4" xfId="0" applyNumberFormat="1" applyFill="1" applyBorder="1" applyAlignment="1" applyProtection="1">
      <alignment horizontal="center"/>
      <protection locked="0"/>
    </xf>
    <xf numFmtId="24" fontId="0" fillId="2" borderId="4" xfId="0" applyNumberFormat="1" applyFill="1" applyBorder="1" applyProtection="1">
      <protection locked="0"/>
    </xf>
    <xf numFmtId="176" fontId="0" fillId="2" borderId="14" xfId="0" applyNumberFormat="1" applyFill="1" applyBorder="1" applyAlignment="1" applyProtection="1">
      <alignment horizontal="right" vertical="center"/>
      <protection locked="0"/>
    </xf>
    <xf numFmtId="178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26" fontId="0" fillId="2" borderId="4" xfId="0" applyNumberFormat="1" applyFill="1" applyBorder="1" applyProtection="1">
      <protection locked="0"/>
    </xf>
    <xf numFmtId="4" fontId="0" fillId="0" borderId="0" xfId="0" applyNumberFormat="1"/>
    <xf numFmtId="178" fontId="0" fillId="0" borderId="0" xfId="0" applyNumberFormat="1"/>
    <xf numFmtId="177" fontId="0" fillId="0" borderId="0" xfId="0" applyNumberFormat="1"/>
    <xf numFmtId="182" fontId="0" fillId="2" borderId="0" xfId="0" applyNumberFormat="1" applyFont="1" applyFill="1" applyAlignment="1" applyProtection="1">
      <protection locked="0"/>
    </xf>
    <xf numFmtId="176" fontId="0" fillId="2" borderId="2" xfId="0" applyNumberFormat="1" applyFill="1" applyBorder="1" applyAlignment="1" applyProtection="1">
      <protection locked="0"/>
    </xf>
    <xf numFmtId="176" fontId="0" fillId="2" borderId="5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Protection="1">
      <protection locked="0"/>
    </xf>
    <xf numFmtId="0" fontId="12" fillId="2" borderId="14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176" fontId="0" fillId="2" borderId="1" xfId="0" applyNumberFormat="1" applyFont="1" applyFill="1" applyBorder="1" applyAlignment="1" applyProtection="1">
      <alignment horizontal="left"/>
      <protection locked="0"/>
    </xf>
    <xf numFmtId="176" fontId="0" fillId="2" borderId="1" xfId="0" applyNumberFormat="1" applyFont="1" applyFill="1" applyBorder="1" applyAlignment="1" applyProtection="1">
      <protection locked="0"/>
    </xf>
    <xf numFmtId="176" fontId="0" fillId="2" borderId="13" xfId="0" applyNumberFormat="1" applyFill="1" applyBorder="1" applyAlignment="1" applyProtection="1">
      <alignment horizontal="right"/>
      <protection locked="0"/>
    </xf>
    <xf numFmtId="26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77" fontId="0" fillId="2" borderId="2" xfId="0" applyNumberFormat="1" applyFill="1" applyBorder="1" applyProtection="1">
      <protection locked="0"/>
    </xf>
    <xf numFmtId="178" fontId="0" fillId="2" borderId="2" xfId="0" applyNumberFormat="1" applyFill="1" applyBorder="1" applyAlignment="1" applyProtection="1">
      <alignment horizontal="center"/>
      <protection locked="0"/>
    </xf>
    <xf numFmtId="178" fontId="0" fillId="2" borderId="3" xfId="0" applyNumberFormat="1" applyFill="1" applyBorder="1" applyAlignment="1" applyProtection="1">
      <alignment horizontal="center"/>
      <protection locked="0"/>
    </xf>
    <xf numFmtId="177" fontId="0" fillId="2" borderId="13" xfId="0" applyNumberFormat="1" applyFill="1" applyBorder="1" applyProtection="1"/>
    <xf numFmtId="178" fontId="0" fillId="2" borderId="13" xfId="0" applyNumberFormat="1" applyFill="1" applyBorder="1" applyProtection="1"/>
    <xf numFmtId="0" fontId="0" fillId="0" borderId="1" xfId="0" applyBorder="1"/>
    <xf numFmtId="3" fontId="0" fillId="0" borderId="0" xfId="0" applyNumberFormat="1"/>
    <xf numFmtId="180" fontId="0" fillId="2" borderId="14" xfId="0" applyNumberFormat="1" applyFill="1" applyBorder="1"/>
    <xf numFmtId="4" fontId="0" fillId="2" borderId="14" xfId="0" applyNumberFormat="1" applyFill="1" applyBorder="1" applyProtection="1">
      <protection locked="0"/>
    </xf>
    <xf numFmtId="184" fontId="0" fillId="2" borderId="14" xfId="0" applyNumberFormat="1" applyFill="1" applyBorder="1" applyProtection="1">
      <protection locked="0"/>
    </xf>
    <xf numFmtId="184" fontId="0" fillId="2" borderId="0" xfId="0" applyNumberFormat="1" applyFill="1" applyProtection="1">
      <protection locked="0"/>
    </xf>
    <xf numFmtId="185" fontId="0" fillId="2" borderId="4" xfId="0" applyNumberFormat="1" applyFill="1" applyBorder="1"/>
    <xf numFmtId="180" fontId="0" fillId="2" borderId="4" xfId="0" applyNumberFormat="1" applyFill="1" applyBorder="1"/>
    <xf numFmtId="176" fontId="0" fillId="2" borderId="0" xfId="0" applyNumberFormat="1" applyFont="1" applyFill="1" applyAlignment="1" applyProtection="1">
      <alignment horizontal="left"/>
    </xf>
    <xf numFmtId="176" fontId="0" fillId="2" borderId="5" xfId="0" applyNumberFormat="1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76" fontId="13" fillId="2" borderId="0" xfId="0" applyNumberFormat="1" applyFont="1" applyFill="1" applyAlignment="1" applyProtection="1">
      <alignment horizontal="center"/>
    </xf>
    <xf numFmtId="176" fontId="13" fillId="2" borderId="5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/>
    </xf>
    <xf numFmtId="21" fontId="0" fillId="2" borderId="0" xfId="0" applyNumberFormat="1" applyFill="1" applyAlignment="1" applyProtection="1">
      <alignment horizontal="left"/>
      <protection locked="0"/>
    </xf>
    <xf numFmtId="176" fontId="0" fillId="2" borderId="0" xfId="0" applyNumberFormat="1" applyFill="1" applyAlignment="1" applyProtection="1">
      <alignment horizontal="left"/>
      <protection locked="0"/>
    </xf>
    <xf numFmtId="176" fontId="0" fillId="2" borderId="5" xfId="0" applyNumberFormat="1" applyFill="1" applyBorder="1" applyAlignment="1" applyProtection="1">
      <alignment horizontal="left"/>
      <protection locked="0"/>
    </xf>
    <xf numFmtId="176" fontId="0" fillId="2" borderId="0" xfId="0" applyNumberFormat="1" applyFont="1" applyFill="1" applyAlignment="1" applyProtection="1">
      <alignment horizontal="center"/>
      <protection locked="0"/>
    </xf>
    <xf numFmtId="176" fontId="0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78" fontId="0" fillId="0" borderId="0" xfId="0" applyNumberFormat="1" applyAlignment="1">
      <alignment horizontal="center" wrapText="1"/>
    </xf>
    <xf numFmtId="178" fontId="0" fillId="2" borderId="4" xfId="0" applyNumberFormat="1" applyFill="1" applyBorder="1" applyAlignment="1" applyProtection="1">
      <alignment horizontal="center"/>
      <protection locked="0"/>
    </xf>
    <xf numFmtId="178" fontId="0" fillId="2" borderId="5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opLeftCell="A52" zoomScale="89" workbookViewId="0">
      <selection activeCell="D1" sqref="D1"/>
    </sheetView>
  </sheetViews>
  <sheetFormatPr baseColWidth="10" defaultColWidth="8.83203125" defaultRowHeight="15" x14ac:dyDescent="0.2"/>
  <cols>
    <col min="2" max="2" width="17.6640625" customWidth="1"/>
    <col min="10" max="10" width="13.5" bestFit="1" customWidth="1"/>
    <col min="13" max="13" width="14.1640625" bestFit="1" customWidth="1"/>
    <col min="14" max="14" width="9.83203125" bestFit="1" customWidth="1"/>
  </cols>
  <sheetData>
    <row r="1" spans="1:11" x14ac:dyDescent="0.2">
      <c r="A1" s="130" t="s">
        <v>157</v>
      </c>
      <c r="B1" s="130"/>
      <c r="C1" s="4" t="s">
        <v>158</v>
      </c>
      <c r="D1" s="7"/>
      <c r="E1" s="125"/>
      <c r="F1" s="131" t="s">
        <v>159</v>
      </c>
      <c r="G1" s="5"/>
      <c r="H1" s="1"/>
      <c r="I1" s="1"/>
      <c r="J1" s="1"/>
      <c r="K1" s="1"/>
    </row>
    <row r="2" spans="1:1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">
      <c r="A3" s="8"/>
      <c r="B3" s="8"/>
      <c r="C3" s="132" t="s">
        <v>160</v>
      </c>
      <c r="D3" s="133" t="s">
        <v>4</v>
      </c>
      <c r="E3" s="134"/>
      <c r="F3" s="133" t="s">
        <v>3</v>
      </c>
      <c r="G3" s="134"/>
      <c r="H3" s="133" t="s">
        <v>161</v>
      </c>
      <c r="I3" s="134"/>
      <c r="J3" s="132" t="s">
        <v>162</v>
      </c>
      <c r="K3" s="132" t="s">
        <v>162</v>
      </c>
    </row>
    <row r="4" spans="1:11" x14ac:dyDescent="0.2">
      <c r="A4" s="55" t="s">
        <v>163</v>
      </c>
      <c r="B4" s="135"/>
      <c r="C4" s="136" t="s">
        <v>164</v>
      </c>
      <c r="D4" s="11" t="s">
        <v>165</v>
      </c>
      <c r="E4" s="12"/>
      <c r="F4" s="11" t="s">
        <v>4</v>
      </c>
      <c r="G4" s="12"/>
      <c r="H4" s="11" t="s">
        <v>166</v>
      </c>
      <c r="I4" s="12"/>
      <c r="J4" s="136" t="s">
        <v>3</v>
      </c>
      <c r="K4" s="136" t="s">
        <v>167</v>
      </c>
    </row>
    <row r="5" spans="1:11" x14ac:dyDescent="0.2">
      <c r="A5" s="2" t="s">
        <v>168</v>
      </c>
      <c r="B5" s="46"/>
      <c r="C5" s="23"/>
      <c r="D5" s="23"/>
      <c r="E5" s="19" t="s">
        <v>9</v>
      </c>
      <c r="F5" s="22"/>
      <c r="G5" s="19" t="s">
        <v>9</v>
      </c>
      <c r="H5" s="46"/>
      <c r="I5" s="137" t="s">
        <v>10</v>
      </c>
      <c r="J5" s="138"/>
      <c r="K5" s="121" t="str">
        <f>IF(C5=0,"",+J5/C5)</f>
        <v/>
      </c>
    </row>
    <row r="6" spans="1:11" x14ac:dyDescent="0.2">
      <c r="A6" s="44"/>
      <c r="B6" s="46" t="s">
        <v>181</v>
      </c>
      <c r="C6" s="42">
        <v>130</v>
      </c>
      <c r="D6" s="23">
        <v>3</v>
      </c>
      <c r="E6" s="19" t="s">
        <v>9</v>
      </c>
      <c r="F6" s="22">
        <f>C6*D6</f>
        <v>390</v>
      </c>
      <c r="G6" s="19" t="s">
        <v>9</v>
      </c>
      <c r="H6" s="46">
        <v>300</v>
      </c>
      <c r="I6" s="137" t="s">
        <v>10</v>
      </c>
      <c r="J6" s="138">
        <f>F6*H6</f>
        <v>117000</v>
      </c>
      <c r="K6" s="121">
        <f>IF(C6=0,"",+J6/C6)</f>
        <v>900</v>
      </c>
    </row>
    <row r="7" spans="1:11" x14ac:dyDescent="0.2">
      <c r="A7" s="44"/>
      <c r="B7" s="46" t="s">
        <v>182</v>
      </c>
      <c r="C7" s="42">
        <v>55</v>
      </c>
      <c r="D7" s="23">
        <v>1.1000000000000001</v>
      </c>
      <c r="E7" s="19" t="s">
        <v>9</v>
      </c>
      <c r="F7" s="22">
        <f>C7*D7</f>
        <v>60.500000000000007</v>
      </c>
      <c r="G7" s="19" t="s">
        <v>9</v>
      </c>
      <c r="H7" s="46">
        <v>750</v>
      </c>
      <c r="I7" s="137" t="s">
        <v>10</v>
      </c>
      <c r="J7" s="138">
        <f>F7*H7</f>
        <v>45375.000000000007</v>
      </c>
      <c r="K7" s="121">
        <f>IF(C7=0,"",+J7/C7)</f>
        <v>825.00000000000011</v>
      </c>
    </row>
    <row r="8" spans="1:11" x14ac:dyDescent="0.2">
      <c r="A8" s="44"/>
      <c r="B8" s="46"/>
      <c r="C8" s="42"/>
      <c r="D8" s="23"/>
      <c r="E8" s="19"/>
      <c r="F8" s="22"/>
      <c r="G8" s="19"/>
      <c r="H8" s="46"/>
      <c r="I8" s="137"/>
      <c r="J8" s="138"/>
      <c r="K8" s="121"/>
    </row>
    <row r="9" spans="1:11" x14ac:dyDescent="0.2">
      <c r="A9" s="44"/>
      <c r="B9" s="46"/>
      <c r="C9" s="42"/>
      <c r="D9" s="23"/>
      <c r="E9" s="19" t="s">
        <v>9</v>
      </c>
      <c r="F9" s="22"/>
      <c r="G9" s="19" t="s">
        <v>9</v>
      </c>
      <c r="H9" s="46"/>
      <c r="I9" s="137" t="s">
        <v>10</v>
      </c>
      <c r="J9" s="138"/>
      <c r="K9" s="121" t="str">
        <f>IF(C9=0,"",+J9/C9)</f>
        <v/>
      </c>
    </row>
    <row r="10" spans="1:11" x14ac:dyDescent="0.2">
      <c r="A10" s="2" t="s">
        <v>169</v>
      </c>
      <c r="B10" s="122"/>
      <c r="C10" s="139">
        <v>130</v>
      </c>
      <c r="D10" s="139">
        <v>3</v>
      </c>
      <c r="E10" s="25" t="str">
        <f>E5</f>
        <v>t</v>
      </c>
      <c r="F10" s="140">
        <v>90</v>
      </c>
      <c r="G10" s="141" t="str">
        <f>G5</f>
        <v>t</v>
      </c>
      <c r="H10" s="142"/>
      <c r="I10" s="143"/>
      <c r="J10" s="180">
        <v>117000</v>
      </c>
      <c r="K10" s="144"/>
    </row>
    <row r="11" spans="1:11" x14ac:dyDescent="0.2">
      <c r="A11" s="2" t="s">
        <v>170</v>
      </c>
      <c r="B11" s="122"/>
      <c r="C11" s="145">
        <v>55</v>
      </c>
      <c r="D11" s="18">
        <v>1.1000000000000001</v>
      </c>
      <c r="E11" s="48" t="s">
        <v>9</v>
      </c>
      <c r="F11" s="140">
        <v>16.5</v>
      </c>
      <c r="G11" s="48" t="s">
        <v>9</v>
      </c>
      <c r="H11" s="142"/>
      <c r="I11" s="143"/>
      <c r="J11" s="180">
        <v>45375</v>
      </c>
      <c r="K11" s="146"/>
    </row>
    <row r="12" spans="1:11" x14ac:dyDescent="0.2">
      <c r="A12" s="8"/>
      <c r="B12" s="1"/>
      <c r="C12" s="146"/>
      <c r="D12" s="147"/>
      <c r="E12" s="148"/>
      <c r="F12" s="149"/>
      <c r="G12" s="150"/>
      <c r="H12" s="149"/>
      <c r="I12" s="150"/>
      <c r="J12" s="199"/>
      <c r="K12" s="146"/>
    </row>
    <row r="13" spans="1:11" x14ac:dyDescent="0.2">
      <c r="A13" s="151" t="s">
        <v>171</v>
      </c>
      <c r="B13" s="14"/>
      <c r="C13" s="152"/>
      <c r="D13" s="142"/>
      <c r="E13" s="143"/>
      <c r="F13" s="142"/>
      <c r="G13" s="143"/>
      <c r="H13" s="142"/>
      <c r="I13" s="143"/>
      <c r="J13" s="200">
        <f>J10+J11</f>
        <v>162375</v>
      </c>
      <c r="K13" s="144">
        <f>K6+K7</f>
        <v>1725</v>
      </c>
    </row>
    <row r="14" spans="1:11" x14ac:dyDescent="0.2">
      <c r="A14" s="1" t="s">
        <v>172</v>
      </c>
      <c r="B14" s="137" t="s">
        <v>173</v>
      </c>
      <c r="C14" s="145"/>
      <c r="D14" s="18"/>
      <c r="E14" s="19" t="s">
        <v>9</v>
      </c>
      <c r="F14" s="22"/>
      <c r="G14" s="19" t="s">
        <v>9</v>
      </c>
      <c r="H14" s="153"/>
      <c r="I14" s="154" t="s">
        <v>10</v>
      </c>
      <c r="J14" s="138">
        <f>F14*H14</f>
        <v>0</v>
      </c>
      <c r="K14" s="146"/>
    </row>
    <row r="15" spans="1:11" x14ac:dyDescent="0.2">
      <c r="A15" s="8"/>
      <c r="B15" s="46"/>
      <c r="C15" s="155"/>
      <c r="D15" s="21"/>
      <c r="E15" s="19"/>
      <c r="F15" s="22"/>
      <c r="G15" s="16"/>
      <c r="H15" s="15"/>
      <c r="I15" s="16"/>
      <c r="J15" s="138"/>
      <c r="K15" s="156"/>
    </row>
    <row r="16" spans="1:11" x14ac:dyDescent="0.2">
      <c r="A16" s="24" t="s">
        <v>5</v>
      </c>
      <c r="B16" s="14"/>
      <c r="C16" s="152"/>
      <c r="D16" s="142"/>
      <c r="E16" s="143"/>
      <c r="F16" s="142"/>
      <c r="G16" s="143"/>
      <c r="H16" s="142"/>
      <c r="I16" s="143"/>
      <c r="J16" s="200"/>
      <c r="K16" s="146"/>
    </row>
    <row r="17" spans="1:11" ht="16" thickBot="1" x14ac:dyDescent="0.25">
      <c r="A17" s="2" t="s">
        <v>6</v>
      </c>
      <c r="B17" s="3"/>
      <c r="C17" s="152"/>
      <c r="D17" s="142"/>
      <c r="E17" s="143"/>
      <c r="F17" s="142"/>
      <c r="G17" s="143"/>
      <c r="H17" s="142"/>
      <c r="I17" s="143"/>
      <c r="J17" s="201">
        <f>J13-J16</f>
        <v>162375</v>
      </c>
      <c r="K17" s="118">
        <f>K13</f>
        <v>1725</v>
      </c>
    </row>
    <row r="18" spans="1:11" ht="16" thickTop="1" x14ac:dyDescent="0.2">
      <c r="A18" s="8"/>
      <c r="B18" s="8"/>
      <c r="C18" s="58"/>
      <c r="D18" s="15"/>
      <c r="E18" s="16"/>
      <c r="F18" s="15"/>
      <c r="G18" s="16"/>
      <c r="H18" s="15"/>
      <c r="I18" s="16"/>
      <c r="J18" s="202"/>
      <c r="K18" s="156"/>
    </row>
    <row r="19" spans="1:11" x14ac:dyDescent="0.2">
      <c r="A19" s="2" t="s">
        <v>7</v>
      </c>
      <c r="B19" s="4"/>
      <c r="C19" s="146"/>
      <c r="D19" s="147"/>
      <c r="E19" s="148"/>
      <c r="F19" s="147"/>
      <c r="G19" s="148"/>
      <c r="H19" s="147"/>
      <c r="I19" s="148"/>
      <c r="J19" s="199"/>
      <c r="K19" s="146"/>
    </row>
    <row r="20" spans="1:11" x14ac:dyDescent="0.2">
      <c r="A20" s="253" t="s">
        <v>201</v>
      </c>
      <c r="B20" s="254"/>
      <c r="C20" s="146"/>
      <c r="D20" s="147"/>
      <c r="E20" s="148"/>
      <c r="F20" s="147"/>
      <c r="G20" s="148"/>
      <c r="H20" s="147"/>
      <c r="I20" s="148"/>
      <c r="J20" s="199"/>
      <c r="K20" s="146"/>
    </row>
    <row r="21" spans="1:11" x14ac:dyDescent="0.2">
      <c r="A21" s="188" t="s">
        <v>184</v>
      </c>
      <c r="B21" s="158"/>
      <c r="C21" s="146"/>
      <c r="D21" s="147"/>
      <c r="E21" s="148"/>
      <c r="F21" s="147"/>
      <c r="G21" s="148"/>
      <c r="H21" s="147"/>
      <c r="I21" s="148"/>
      <c r="J21" s="199"/>
      <c r="K21" s="146"/>
    </row>
    <row r="22" spans="1:11" x14ac:dyDescent="0.2">
      <c r="A22" s="256" t="s">
        <v>180</v>
      </c>
      <c r="B22" s="257"/>
      <c r="C22" s="42">
        <v>130</v>
      </c>
      <c r="D22" s="23">
        <v>100</v>
      </c>
      <c r="E22" s="48" t="s">
        <v>8</v>
      </c>
      <c r="F22" s="22">
        <f>C22*D22/1000</f>
        <v>13</v>
      </c>
      <c r="G22" s="16" t="s">
        <v>9</v>
      </c>
      <c r="H22" s="23">
        <v>245</v>
      </c>
      <c r="I22" s="48" t="s">
        <v>10</v>
      </c>
      <c r="J22" s="138">
        <f>H22*F22</f>
        <v>3185</v>
      </c>
      <c r="K22" s="159">
        <f>IF(C22=0,"",+J22/C22)</f>
        <v>24.5</v>
      </c>
    </row>
    <row r="23" spans="1:11" x14ac:dyDescent="0.2">
      <c r="A23" s="255">
        <v>0.76388888888888884</v>
      </c>
      <c r="B23" s="250"/>
      <c r="C23" s="42">
        <v>130</v>
      </c>
      <c r="D23" s="23">
        <v>70</v>
      </c>
      <c r="E23" s="19" t="s">
        <v>8</v>
      </c>
      <c r="F23" s="22">
        <f>C23*D23/1000</f>
        <v>9.1</v>
      </c>
      <c r="G23" s="16" t="s">
        <v>9</v>
      </c>
      <c r="H23" s="23">
        <v>685</v>
      </c>
      <c r="I23" s="19" t="s">
        <v>10</v>
      </c>
      <c r="J23" s="138">
        <f>H23*F23</f>
        <v>6233.5</v>
      </c>
      <c r="K23" s="159">
        <f>IF(C23=0,"",+J23/C23)</f>
        <v>47.95</v>
      </c>
    </row>
    <row r="24" spans="1:11" x14ac:dyDescent="0.2">
      <c r="A24" s="249" t="s">
        <v>185</v>
      </c>
      <c r="B24" s="250"/>
      <c r="C24" s="42">
        <v>130</v>
      </c>
      <c r="D24" s="23">
        <v>0.2</v>
      </c>
      <c r="E24" s="19" t="s">
        <v>8</v>
      </c>
      <c r="F24" s="22">
        <f>C24*D24/1000</f>
        <v>2.5999999999999999E-2</v>
      </c>
      <c r="G24" s="16" t="s">
        <v>9</v>
      </c>
      <c r="H24" s="23">
        <v>26</v>
      </c>
      <c r="I24" s="19" t="s">
        <v>186</v>
      </c>
      <c r="J24" s="138">
        <v>156</v>
      </c>
      <c r="K24" s="159">
        <f>IF(C24=0,"",+J24/C24)</f>
        <v>1.2</v>
      </c>
    </row>
    <row r="25" spans="1:11" x14ac:dyDescent="0.2">
      <c r="A25" s="188" t="s">
        <v>187</v>
      </c>
      <c r="B25" s="160"/>
      <c r="C25" s="42"/>
      <c r="D25" s="23"/>
      <c r="E25" s="19"/>
      <c r="F25" s="161"/>
      <c r="G25" s="16"/>
      <c r="H25" s="23"/>
      <c r="I25" s="19"/>
      <c r="J25" s="138"/>
      <c r="K25" s="159" t="str">
        <f>IF(C25=0,"",+J25/C25)</f>
        <v/>
      </c>
    </row>
    <row r="26" spans="1:11" x14ac:dyDescent="0.2">
      <c r="A26" s="249" t="s">
        <v>188</v>
      </c>
      <c r="B26" s="250"/>
      <c r="C26" s="42">
        <v>55</v>
      </c>
      <c r="D26" s="23">
        <v>60</v>
      </c>
      <c r="E26" s="19" t="s">
        <v>189</v>
      </c>
      <c r="F26" s="161">
        <f>D26*C26/1000</f>
        <v>3.3</v>
      </c>
      <c r="G26" s="16" t="s">
        <v>190</v>
      </c>
      <c r="H26" s="23">
        <v>685</v>
      </c>
      <c r="I26" s="48" t="s">
        <v>10</v>
      </c>
      <c r="J26" s="138">
        <f>F26*H26</f>
        <v>2260.5</v>
      </c>
      <c r="K26" s="159"/>
    </row>
    <row r="27" spans="1:11" x14ac:dyDescent="0.2">
      <c r="A27" s="46"/>
      <c r="B27" s="160"/>
      <c r="C27" s="42"/>
      <c r="D27" s="23"/>
      <c r="E27" s="19"/>
      <c r="F27" s="161"/>
      <c r="G27" s="16"/>
      <c r="H27" s="23"/>
      <c r="I27" s="19"/>
      <c r="J27" s="138"/>
      <c r="K27" s="159"/>
    </row>
    <row r="28" spans="1:11" x14ac:dyDescent="0.2">
      <c r="A28" s="186" t="s">
        <v>174</v>
      </c>
      <c r="B28" s="187"/>
      <c r="C28" s="162"/>
      <c r="D28" s="15"/>
      <c r="E28" s="90"/>
      <c r="F28" s="163"/>
      <c r="G28" s="90"/>
      <c r="H28" s="164"/>
      <c r="I28" s="16"/>
      <c r="J28" s="202"/>
      <c r="K28" s="157"/>
    </row>
    <row r="29" spans="1:11" x14ac:dyDescent="0.2">
      <c r="A29" s="249" t="s">
        <v>183</v>
      </c>
      <c r="B29" s="250"/>
      <c r="C29" s="23">
        <v>130</v>
      </c>
      <c r="D29" s="23">
        <v>80</v>
      </c>
      <c r="E29" s="19" t="s">
        <v>8</v>
      </c>
      <c r="F29" s="165">
        <f>(D29/1000)*C29</f>
        <v>10.4</v>
      </c>
      <c r="G29" s="19" t="s">
        <v>9</v>
      </c>
      <c r="H29" s="23">
        <v>390</v>
      </c>
      <c r="I29" s="19" t="s">
        <v>10</v>
      </c>
      <c r="J29" s="138">
        <f>F29*H29</f>
        <v>4056</v>
      </c>
      <c r="K29" s="159">
        <f>IF(C29=0,"",+J29/C29)</f>
        <v>31.2</v>
      </c>
    </row>
    <row r="30" spans="1:11" x14ac:dyDescent="0.2">
      <c r="A30" s="249" t="s">
        <v>179</v>
      </c>
      <c r="B30" s="250"/>
      <c r="C30" s="23">
        <v>55</v>
      </c>
      <c r="D30" s="23">
        <v>100</v>
      </c>
      <c r="E30" s="19" t="s">
        <v>8</v>
      </c>
      <c r="F30" s="165">
        <f>(D30/1000)*C30</f>
        <v>5.5</v>
      </c>
      <c r="G30" s="19" t="s">
        <v>9</v>
      </c>
      <c r="H30" s="23">
        <v>730</v>
      </c>
      <c r="I30" s="19" t="s">
        <v>10</v>
      </c>
      <c r="J30" s="138">
        <f>F30*H30</f>
        <v>4015</v>
      </c>
      <c r="K30" s="159">
        <f>IF(C30=0,"",+J30/C30)</f>
        <v>73</v>
      </c>
    </row>
    <row r="31" spans="1:11" x14ac:dyDescent="0.2">
      <c r="A31" s="137"/>
      <c r="B31" s="46"/>
      <c r="C31" s="23"/>
      <c r="D31" s="23"/>
      <c r="E31" s="19"/>
      <c r="F31" s="165"/>
      <c r="G31" s="19"/>
      <c r="H31" s="23"/>
      <c r="I31" s="19"/>
      <c r="J31" s="138"/>
      <c r="K31" s="159"/>
    </row>
    <row r="32" spans="1:11" x14ac:dyDescent="0.2">
      <c r="A32" s="186" t="s">
        <v>175</v>
      </c>
      <c r="B32" s="46"/>
      <c r="C32" s="42"/>
      <c r="D32" s="23"/>
      <c r="E32" s="48"/>
      <c r="F32" s="161"/>
      <c r="G32" s="19"/>
      <c r="H32" s="23"/>
      <c r="I32" s="48"/>
      <c r="J32" s="138"/>
      <c r="K32" s="159" t="str">
        <f>IF(C32=0,"",+J32/C32)</f>
        <v/>
      </c>
    </row>
    <row r="33" spans="1:15" s="185" customFormat="1" x14ac:dyDescent="0.2">
      <c r="A33" s="245" t="s">
        <v>244</v>
      </c>
      <c r="B33" s="246"/>
      <c r="C33" s="181"/>
      <c r="D33" s="181"/>
      <c r="E33" s="182"/>
      <c r="F33" s="183"/>
      <c r="G33" s="184"/>
      <c r="H33" s="181"/>
      <c r="I33" s="182"/>
      <c r="J33" s="207"/>
      <c r="K33" s="208"/>
    </row>
    <row r="34" spans="1:15" x14ac:dyDescent="0.2">
      <c r="A34" s="204" t="s">
        <v>250</v>
      </c>
      <c r="B34" s="198"/>
      <c r="C34" s="211">
        <v>130</v>
      </c>
      <c r="D34" s="210">
        <v>1</v>
      </c>
      <c r="E34" s="48"/>
      <c r="F34" s="192">
        <f>C34*D34</f>
        <v>130</v>
      </c>
      <c r="G34" s="221"/>
      <c r="H34" s="166">
        <v>8.5</v>
      </c>
      <c r="I34" s="221" t="s">
        <v>251</v>
      </c>
      <c r="J34" s="121">
        <f>H34*F34</f>
        <v>1105</v>
      </c>
      <c r="K34" s="194">
        <f>J34/30</f>
        <v>36.833333333333336</v>
      </c>
    </row>
    <row r="35" spans="1:15" x14ac:dyDescent="0.2">
      <c r="A35" s="249" t="s">
        <v>197</v>
      </c>
      <c r="B35" s="250"/>
      <c r="C35" s="211">
        <v>130</v>
      </c>
      <c r="D35" s="23">
        <v>1.2</v>
      </c>
      <c r="E35" s="48" t="s">
        <v>207</v>
      </c>
      <c r="F35" s="161">
        <f>C35*D35</f>
        <v>156</v>
      </c>
      <c r="G35" s="48" t="s">
        <v>207</v>
      </c>
      <c r="H35" s="23">
        <v>6.3</v>
      </c>
      <c r="I35" s="48" t="s">
        <v>227</v>
      </c>
      <c r="J35" s="138">
        <f>H35*F35</f>
        <v>982.8</v>
      </c>
      <c r="K35" s="159">
        <f>IF(C35=0,"",+J35/C35)</f>
        <v>7.56</v>
      </c>
      <c r="M35" t="s">
        <v>260</v>
      </c>
      <c r="N35" s="216">
        <f>SUM(J22:J26)</f>
        <v>11835</v>
      </c>
      <c r="O35" s="216"/>
    </row>
    <row r="36" spans="1:15" x14ac:dyDescent="0.2">
      <c r="A36" s="249" t="s">
        <v>192</v>
      </c>
      <c r="B36" s="250"/>
      <c r="C36" s="211">
        <v>130</v>
      </c>
      <c r="D36" s="23">
        <v>0.02</v>
      </c>
      <c r="E36" s="48" t="s">
        <v>207</v>
      </c>
      <c r="F36" s="161">
        <f t="shared" ref="F36:F42" si="0">C36*D36</f>
        <v>2.6</v>
      </c>
      <c r="G36" s="48" t="s">
        <v>207</v>
      </c>
      <c r="H36" s="23">
        <v>166</v>
      </c>
      <c r="I36" s="48" t="s">
        <v>228</v>
      </c>
      <c r="J36" s="138">
        <f t="shared" ref="J36:J42" si="1">H36*F36</f>
        <v>431.6</v>
      </c>
      <c r="K36" s="159">
        <f t="shared" ref="K36:K42" si="2">IF(C36=0,"",+J36/C36)</f>
        <v>3.3200000000000003</v>
      </c>
      <c r="M36" t="s">
        <v>261</v>
      </c>
      <c r="N36" s="216">
        <f>SUM(J29:J30)</f>
        <v>8071</v>
      </c>
      <c r="O36" s="217"/>
    </row>
    <row r="37" spans="1:15" x14ac:dyDescent="0.2">
      <c r="A37" s="249" t="s">
        <v>193</v>
      </c>
      <c r="B37" s="250"/>
      <c r="C37" s="211">
        <v>130</v>
      </c>
      <c r="D37" s="23">
        <v>0.11799999999999999</v>
      </c>
      <c r="E37" s="48" t="s">
        <v>208</v>
      </c>
      <c r="F37" s="161">
        <f t="shared" si="0"/>
        <v>15.34</v>
      </c>
      <c r="G37" s="48" t="s">
        <v>208</v>
      </c>
      <c r="H37" s="23">
        <v>340</v>
      </c>
      <c r="I37" s="48" t="s">
        <v>229</v>
      </c>
      <c r="J37" s="138">
        <f t="shared" si="1"/>
        <v>5215.6000000000004</v>
      </c>
      <c r="K37" s="159">
        <f t="shared" si="2"/>
        <v>40.120000000000005</v>
      </c>
      <c r="M37" t="s">
        <v>259</v>
      </c>
      <c r="N37" s="236">
        <f>SUM(J34:J59)</f>
        <v>17622.585000000003</v>
      </c>
    </row>
    <row r="38" spans="1:15" x14ac:dyDescent="0.2">
      <c r="A38" s="249" t="s">
        <v>194</v>
      </c>
      <c r="B38" s="250"/>
      <c r="C38" s="211">
        <v>130</v>
      </c>
      <c r="D38" s="23">
        <v>8.5000000000000006E-2</v>
      </c>
      <c r="E38" s="48" t="s">
        <v>207</v>
      </c>
      <c r="F38" s="161">
        <f t="shared" si="0"/>
        <v>11.05</v>
      </c>
      <c r="G38" s="48" t="s">
        <v>207</v>
      </c>
      <c r="H38" s="23">
        <v>38.799999999999997</v>
      </c>
      <c r="I38" s="48" t="s">
        <v>230</v>
      </c>
      <c r="J38" s="138">
        <f t="shared" si="1"/>
        <v>428.74</v>
      </c>
      <c r="K38" s="159">
        <f t="shared" si="2"/>
        <v>3.298</v>
      </c>
      <c r="M38" t="s">
        <v>262</v>
      </c>
      <c r="N38" s="218">
        <f>SUM(J67,J74)</f>
        <v>1448.25</v>
      </c>
    </row>
    <row r="39" spans="1:15" x14ac:dyDescent="0.2">
      <c r="A39" s="249" t="s">
        <v>195</v>
      </c>
      <c r="B39" s="250"/>
      <c r="C39" s="211">
        <v>130</v>
      </c>
      <c r="D39" s="23">
        <v>0.5</v>
      </c>
      <c r="E39" s="48" t="s">
        <v>209</v>
      </c>
      <c r="F39" s="161">
        <f t="shared" si="0"/>
        <v>65</v>
      </c>
      <c r="G39" s="48" t="s">
        <v>209</v>
      </c>
      <c r="H39" s="23">
        <v>8.1300000000000008</v>
      </c>
      <c r="I39" s="48" t="s">
        <v>231</v>
      </c>
      <c r="J39" s="138">
        <f t="shared" si="1"/>
        <v>528.45000000000005</v>
      </c>
      <c r="K39" s="159">
        <f t="shared" si="2"/>
        <v>4.0650000000000004</v>
      </c>
      <c r="M39" t="s">
        <v>263</v>
      </c>
      <c r="N39" s="218">
        <f>SUM(J65,J66,J72,J73)</f>
        <v>950.02</v>
      </c>
    </row>
    <row r="40" spans="1:15" ht="15" customHeight="1" x14ac:dyDescent="0.2">
      <c r="A40" s="249" t="s">
        <v>196</v>
      </c>
      <c r="B40" s="250"/>
      <c r="C40" s="211">
        <v>130</v>
      </c>
      <c r="D40" s="23">
        <v>25</v>
      </c>
      <c r="E40" s="48" t="s">
        <v>211</v>
      </c>
      <c r="F40" s="161">
        <f t="shared" si="0"/>
        <v>3250</v>
      </c>
      <c r="G40" s="48" t="s">
        <v>211</v>
      </c>
      <c r="H40" s="23">
        <v>0.5</v>
      </c>
      <c r="I40" s="48" t="s">
        <v>232</v>
      </c>
      <c r="J40" s="138">
        <f t="shared" si="1"/>
        <v>1625</v>
      </c>
      <c r="K40" s="159">
        <f t="shared" si="2"/>
        <v>12.5</v>
      </c>
      <c r="M40" s="260" t="s">
        <v>264</v>
      </c>
      <c r="N40" s="261">
        <f>SUM(J63,J64,J70,J71)</f>
        <v>83.100000000000009</v>
      </c>
    </row>
    <row r="41" spans="1:15" x14ac:dyDescent="0.2">
      <c r="A41" s="245" t="s">
        <v>199</v>
      </c>
      <c r="B41" s="246"/>
      <c r="C41" s="211"/>
      <c r="D41" s="23"/>
      <c r="E41" s="48"/>
      <c r="F41" s="161"/>
      <c r="G41" s="19"/>
      <c r="H41" s="23"/>
      <c r="I41" s="48"/>
      <c r="J41" s="138"/>
      <c r="K41" s="159"/>
      <c r="M41" s="260"/>
      <c r="N41" s="260"/>
    </row>
    <row r="42" spans="1:15" x14ac:dyDescent="0.2">
      <c r="A42" s="249" t="s">
        <v>198</v>
      </c>
      <c r="B42" s="250"/>
      <c r="C42" s="211">
        <v>130</v>
      </c>
      <c r="D42" s="23">
        <v>0.5</v>
      </c>
      <c r="E42" s="48" t="s">
        <v>210</v>
      </c>
      <c r="F42" s="161">
        <f t="shared" si="0"/>
        <v>65</v>
      </c>
      <c r="G42" s="19" t="s">
        <v>212</v>
      </c>
      <c r="H42" s="23">
        <v>9</v>
      </c>
      <c r="I42" s="48" t="s">
        <v>233</v>
      </c>
      <c r="J42" s="138">
        <f t="shared" si="1"/>
        <v>585</v>
      </c>
      <c r="K42" s="159">
        <f t="shared" si="2"/>
        <v>4.5</v>
      </c>
      <c r="M42" s="260"/>
      <c r="N42" s="260"/>
    </row>
    <row r="43" spans="1:15" x14ac:dyDescent="0.2">
      <c r="A43" s="195"/>
      <c r="B43" s="203"/>
      <c r="C43" s="23"/>
      <c r="D43" s="23"/>
      <c r="E43" s="48"/>
      <c r="F43" s="161"/>
      <c r="G43" s="19"/>
      <c r="H43" s="23"/>
      <c r="I43" s="48"/>
      <c r="J43" s="159"/>
      <c r="K43" s="159"/>
      <c r="M43" t="s">
        <v>265</v>
      </c>
      <c r="N43" s="218">
        <f>SUM(J77:J80)</f>
        <v>5348</v>
      </c>
    </row>
    <row r="44" spans="1:15" x14ac:dyDescent="0.2">
      <c r="A44" s="245" t="s">
        <v>221</v>
      </c>
      <c r="B44" s="246"/>
      <c r="C44" s="23"/>
      <c r="D44" s="23"/>
      <c r="E44" s="48"/>
      <c r="F44" s="161"/>
      <c r="G44" s="19"/>
      <c r="H44" s="23"/>
      <c r="I44" s="48"/>
      <c r="J44" s="159"/>
      <c r="K44" s="159"/>
    </row>
    <row r="45" spans="1:15" x14ac:dyDescent="0.2">
      <c r="A45" s="247" t="s">
        <v>202</v>
      </c>
      <c r="B45" s="248"/>
      <c r="C45" s="23">
        <v>55</v>
      </c>
      <c r="D45" s="23">
        <v>1</v>
      </c>
      <c r="E45" s="48" t="s">
        <v>224</v>
      </c>
      <c r="F45" s="161">
        <f>C45*D45</f>
        <v>55</v>
      </c>
      <c r="G45" s="48" t="s">
        <v>224</v>
      </c>
      <c r="H45" s="23">
        <v>19.940000000000001</v>
      </c>
      <c r="I45" s="48" t="s">
        <v>234</v>
      </c>
      <c r="J45" s="159">
        <f>H45*F45</f>
        <v>1096.7</v>
      </c>
      <c r="K45" s="159">
        <f>IF(C45=0,"",+J45/C45)</f>
        <v>19.940000000000001</v>
      </c>
      <c r="M45" t="s">
        <v>273</v>
      </c>
      <c r="N45" s="218">
        <f>SUM(J65,J66,J72,J73)</f>
        <v>950.02</v>
      </c>
    </row>
    <row r="46" spans="1:15" x14ac:dyDescent="0.2">
      <c r="A46" s="247" t="s">
        <v>191</v>
      </c>
      <c r="B46" s="248"/>
      <c r="C46" s="23">
        <v>55</v>
      </c>
      <c r="D46" s="23">
        <v>1.2</v>
      </c>
      <c r="E46" s="48" t="s">
        <v>224</v>
      </c>
      <c r="F46" s="161">
        <f t="shared" ref="F46:F59" si="3">C46*D46</f>
        <v>66</v>
      </c>
      <c r="G46" s="48" t="s">
        <v>224</v>
      </c>
      <c r="H46" s="23">
        <v>6.3</v>
      </c>
      <c r="I46" s="48" t="s">
        <v>235</v>
      </c>
      <c r="J46" s="159">
        <f t="shared" ref="J46:J59" si="4">H46*F46</f>
        <v>415.8</v>
      </c>
      <c r="K46" s="159">
        <f t="shared" ref="K46:K59" si="5">IF(C46=0,"",+J46/C46)</f>
        <v>7.5600000000000005</v>
      </c>
    </row>
    <row r="47" spans="1:15" x14ac:dyDescent="0.2">
      <c r="A47" s="247" t="s">
        <v>192</v>
      </c>
      <c r="B47" s="248"/>
      <c r="C47" s="23">
        <v>55</v>
      </c>
      <c r="D47" s="23">
        <v>0.02</v>
      </c>
      <c r="E47" s="48" t="s">
        <v>224</v>
      </c>
      <c r="F47" s="161">
        <f t="shared" si="3"/>
        <v>1.1000000000000001</v>
      </c>
      <c r="G47" s="48" t="s">
        <v>224</v>
      </c>
      <c r="H47" s="23">
        <v>166</v>
      </c>
      <c r="I47" s="48" t="s">
        <v>236</v>
      </c>
      <c r="J47" s="159">
        <f t="shared" si="4"/>
        <v>182.60000000000002</v>
      </c>
      <c r="K47" s="159">
        <f t="shared" si="5"/>
        <v>3.3200000000000003</v>
      </c>
    </row>
    <row r="48" spans="1:15" x14ac:dyDescent="0.2">
      <c r="A48" s="247" t="s">
        <v>203</v>
      </c>
      <c r="B48" s="248"/>
      <c r="C48" s="23">
        <v>55</v>
      </c>
      <c r="D48" s="23">
        <v>100</v>
      </c>
      <c r="E48" s="48" t="s">
        <v>225</v>
      </c>
      <c r="F48" s="161">
        <f t="shared" si="3"/>
        <v>5500</v>
      </c>
      <c r="G48" s="48" t="s">
        <v>225</v>
      </c>
      <c r="H48" s="23">
        <v>0.15</v>
      </c>
      <c r="I48" s="48" t="s">
        <v>237</v>
      </c>
      <c r="J48" s="159">
        <f t="shared" si="4"/>
        <v>825</v>
      </c>
      <c r="K48" s="159">
        <f t="shared" si="5"/>
        <v>15</v>
      </c>
      <c r="M48" t="s">
        <v>286</v>
      </c>
      <c r="N48" s="218">
        <f>SUM(J34:J42)</f>
        <v>10902.19</v>
      </c>
    </row>
    <row r="49" spans="1:14" x14ac:dyDescent="0.2">
      <c r="A49" s="247" t="s">
        <v>204</v>
      </c>
      <c r="B49" s="248"/>
      <c r="C49" s="23">
        <v>55</v>
      </c>
      <c r="D49" s="23">
        <v>0.24</v>
      </c>
      <c r="E49" s="48" t="s">
        <v>226</v>
      </c>
      <c r="F49" s="161">
        <f t="shared" si="3"/>
        <v>13.2</v>
      </c>
      <c r="G49" s="48" t="s">
        <v>226</v>
      </c>
      <c r="H49" s="23">
        <v>31.2</v>
      </c>
      <c r="I49" s="48" t="s">
        <v>238</v>
      </c>
      <c r="J49" s="159">
        <f t="shared" si="4"/>
        <v>411.84</v>
      </c>
      <c r="K49" s="159">
        <f t="shared" si="5"/>
        <v>7.4879999999999995</v>
      </c>
      <c r="M49" t="s">
        <v>287</v>
      </c>
      <c r="N49" s="218">
        <f>SUM(J45:J59)</f>
        <v>6720.3950000000004</v>
      </c>
    </row>
    <row r="50" spans="1:14" x14ac:dyDescent="0.2">
      <c r="A50" s="247" t="s">
        <v>213</v>
      </c>
      <c r="B50" s="248"/>
      <c r="C50" s="23">
        <v>55</v>
      </c>
      <c r="D50" s="23">
        <v>0.5</v>
      </c>
      <c r="E50" s="48" t="s">
        <v>224</v>
      </c>
      <c r="F50" s="161">
        <f t="shared" si="3"/>
        <v>27.5</v>
      </c>
      <c r="G50" s="48" t="s">
        <v>224</v>
      </c>
      <c r="H50" s="23">
        <v>13.25</v>
      </c>
      <c r="I50" s="48" t="s">
        <v>239</v>
      </c>
      <c r="J50" s="159">
        <f t="shared" si="4"/>
        <v>364.375</v>
      </c>
      <c r="K50" s="159">
        <f t="shared" si="5"/>
        <v>6.625</v>
      </c>
    </row>
    <row r="51" spans="1:14" x14ac:dyDescent="0.2">
      <c r="A51" s="247" t="s">
        <v>214</v>
      </c>
      <c r="B51" s="248"/>
      <c r="C51" s="23">
        <v>55</v>
      </c>
      <c r="D51" s="23">
        <v>0.04</v>
      </c>
      <c r="E51" s="48" t="s">
        <v>224</v>
      </c>
      <c r="F51" s="161">
        <f t="shared" si="3"/>
        <v>2.2000000000000002</v>
      </c>
      <c r="G51" s="48" t="s">
        <v>224</v>
      </c>
      <c r="H51" s="23">
        <v>45.6</v>
      </c>
      <c r="I51" s="48" t="s">
        <v>240</v>
      </c>
      <c r="J51" s="159">
        <f t="shared" si="4"/>
        <v>100.32000000000001</v>
      </c>
      <c r="K51" s="159">
        <f t="shared" si="5"/>
        <v>1.8240000000000001</v>
      </c>
    </row>
    <row r="52" spans="1:14" ht="28" customHeight="1" x14ac:dyDescent="0.2">
      <c r="A52" s="247" t="s">
        <v>220</v>
      </c>
      <c r="B52" s="248"/>
      <c r="C52" s="23"/>
      <c r="D52" s="23"/>
      <c r="E52" s="48"/>
      <c r="F52" s="161"/>
      <c r="G52" s="48"/>
      <c r="H52" s="23"/>
      <c r="I52" s="48"/>
      <c r="J52" s="159"/>
      <c r="K52" s="159" t="str">
        <f t="shared" si="5"/>
        <v/>
      </c>
    </row>
    <row r="53" spans="1:14" x14ac:dyDescent="0.2">
      <c r="A53" s="213" t="s">
        <v>215</v>
      </c>
      <c r="B53" s="214"/>
      <c r="C53" s="23">
        <v>55</v>
      </c>
      <c r="D53" s="23">
        <v>0.14000000000000001</v>
      </c>
      <c r="E53" s="48" t="s">
        <v>224</v>
      </c>
      <c r="F53" s="161">
        <f t="shared" si="3"/>
        <v>7.7000000000000011</v>
      </c>
      <c r="G53" s="48" t="s">
        <v>224</v>
      </c>
      <c r="H53" s="23">
        <v>8.1999999999999993</v>
      </c>
      <c r="I53" s="48" t="s">
        <v>241</v>
      </c>
      <c r="J53" s="159">
        <f t="shared" si="4"/>
        <v>63.14</v>
      </c>
      <c r="K53" s="159">
        <f t="shared" si="5"/>
        <v>1.1479999999999999</v>
      </c>
    </row>
    <row r="54" spans="1:14" x14ac:dyDescent="0.2">
      <c r="A54" s="247" t="s">
        <v>216</v>
      </c>
      <c r="B54" s="248"/>
      <c r="C54" s="23">
        <v>55</v>
      </c>
      <c r="D54" s="23">
        <v>2.4E-2</v>
      </c>
      <c r="E54" s="48" t="s">
        <v>224</v>
      </c>
      <c r="F54" s="161">
        <f t="shared" si="3"/>
        <v>1.32</v>
      </c>
      <c r="G54" s="48" t="s">
        <v>224</v>
      </c>
      <c r="H54" s="23">
        <v>85</v>
      </c>
      <c r="I54" s="48" t="s">
        <v>242</v>
      </c>
      <c r="J54" s="159">
        <f t="shared" si="4"/>
        <v>112.2</v>
      </c>
      <c r="K54" s="159">
        <f t="shared" si="5"/>
        <v>2.04</v>
      </c>
    </row>
    <row r="55" spans="1:14" x14ac:dyDescent="0.2">
      <c r="A55" s="245" t="s">
        <v>222</v>
      </c>
      <c r="B55" s="246"/>
      <c r="C55" s="23"/>
      <c r="D55" s="23"/>
      <c r="E55" s="48"/>
      <c r="F55" s="161"/>
      <c r="G55" s="48"/>
      <c r="H55" s="23"/>
      <c r="I55" s="48"/>
      <c r="J55" s="159"/>
      <c r="K55" s="159" t="str">
        <f t="shared" si="5"/>
        <v/>
      </c>
    </row>
    <row r="56" spans="1:14" x14ac:dyDescent="0.2">
      <c r="A56" s="264" t="s">
        <v>217</v>
      </c>
      <c r="B56" s="265"/>
      <c r="C56" s="23">
        <v>55</v>
      </c>
      <c r="D56" s="23">
        <v>0.6</v>
      </c>
      <c r="E56" s="48" t="s">
        <v>224</v>
      </c>
      <c r="F56" s="161">
        <f t="shared" si="3"/>
        <v>33</v>
      </c>
      <c r="G56" s="48" t="s">
        <v>224</v>
      </c>
      <c r="H56" s="23">
        <v>54.5</v>
      </c>
      <c r="I56" s="48" t="s">
        <v>243</v>
      </c>
      <c r="J56" s="159">
        <f t="shared" si="4"/>
        <v>1798.5</v>
      </c>
      <c r="K56" s="159">
        <f t="shared" si="5"/>
        <v>32.700000000000003</v>
      </c>
    </row>
    <row r="57" spans="1:14" x14ac:dyDescent="0.2">
      <c r="A57" s="249" t="s">
        <v>218</v>
      </c>
      <c r="B57" s="250"/>
      <c r="C57" s="23">
        <v>55</v>
      </c>
      <c r="D57" s="23">
        <v>1.6</v>
      </c>
      <c r="E57" s="48" t="s">
        <v>224</v>
      </c>
      <c r="F57" s="161">
        <f t="shared" si="3"/>
        <v>88</v>
      </c>
      <c r="G57" s="48" t="s">
        <v>224</v>
      </c>
      <c r="H57" s="23">
        <v>12.4</v>
      </c>
      <c r="I57" s="48" t="s">
        <v>234</v>
      </c>
      <c r="J57" s="159">
        <f t="shared" si="4"/>
        <v>1091.2</v>
      </c>
      <c r="K57" s="159">
        <f t="shared" si="5"/>
        <v>19.84</v>
      </c>
    </row>
    <row r="58" spans="1:14" x14ac:dyDescent="0.2">
      <c r="A58" s="245" t="s">
        <v>223</v>
      </c>
      <c r="B58" s="246"/>
      <c r="C58" s="23"/>
      <c r="D58" s="23"/>
      <c r="E58" s="48"/>
      <c r="F58" s="161"/>
      <c r="G58" s="48"/>
      <c r="H58" s="23"/>
      <c r="I58" s="48"/>
      <c r="J58" s="159"/>
      <c r="K58" s="159" t="str">
        <f t="shared" si="5"/>
        <v/>
      </c>
    </row>
    <row r="59" spans="1:14" x14ac:dyDescent="0.2">
      <c r="A59" s="205" t="s">
        <v>219</v>
      </c>
      <c r="B59" s="203"/>
      <c r="C59" s="23">
        <v>55</v>
      </c>
      <c r="D59" s="23">
        <v>0.8</v>
      </c>
      <c r="E59" s="48" t="s">
        <v>224</v>
      </c>
      <c r="F59" s="161">
        <f t="shared" si="3"/>
        <v>44</v>
      </c>
      <c r="G59" s="48" t="s">
        <v>224</v>
      </c>
      <c r="H59" s="23">
        <v>5.88</v>
      </c>
      <c r="I59" s="48" t="s">
        <v>227</v>
      </c>
      <c r="J59" s="159">
        <f t="shared" si="4"/>
        <v>258.71999999999997</v>
      </c>
      <c r="K59" s="159">
        <f t="shared" si="5"/>
        <v>4.7039999999999997</v>
      </c>
    </row>
    <row r="60" spans="1:14" x14ac:dyDescent="0.2">
      <c r="A60" s="195"/>
      <c r="B60" s="203"/>
      <c r="C60" s="23"/>
      <c r="D60" s="23"/>
      <c r="E60" s="48"/>
      <c r="F60" s="161"/>
      <c r="G60" s="19"/>
      <c r="H60" s="23"/>
      <c r="I60" s="48"/>
      <c r="J60" s="159"/>
      <c r="K60" s="159"/>
    </row>
    <row r="61" spans="1:14" x14ac:dyDescent="0.2">
      <c r="A61" s="189" t="s">
        <v>176</v>
      </c>
      <c r="B61" s="190"/>
      <c r="C61" s="23"/>
      <c r="D61" s="23"/>
      <c r="E61" s="48"/>
      <c r="F61" s="161"/>
      <c r="G61" s="206"/>
      <c r="H61" s="23"/>
      <c r="I61" s="48"/>
      <c r="J61" s="159"/>
      <c r="K61" s="159"/>
    </row>
    <row r="62" spans="1:14" x14ac:dyDescent="0.2">
      <c r="A62" s="251" t="s">
        <v>245</v>
      </c>
      <c r="B62" s="252"/>
      <c r="C62" s="23"/>
      <c r="D62" s="23"/>
      <c r="E62" s="48"/>
      <c r="F62" s="161"/>
      <c r="G62" s="19"/>
      <c r="H62" s="23"/>
      <c r="I62" s="48"/>
      <c r="J62" s="159"/>
      <c r="K62" s="159"/>
    </row>
    <row r="63" spans="1:14" x14ac:dyDescent="0.2">
      <c r="A63" s="243" t="s">
        <v>246</v>
      </c>
      <c r="B63" s="244"/>
      <c r="C63" s="211">
        <v>130</v>
      </c>
      <c r="D63" s="23"/>
      <c r="E63" s="48"/>
      <c r="F63" s="161"/>
      <c r="G63" s="206"/>
      <c r="H63" s="23"/>
      <c r="I63" s="48"/>
      <c r="J63" s="159">
        <v>16.07</v>
      </c>
      <c r="K63" s="194">
        <f t="shared" ref="K63" si="6">J63/30</f>
        <v>0.53566666666666662</v>
      </c>
    </row>
    <row r="64" spans="1:14" x14ac:dyDescent="0.2">
      <c r="A64" s="243" t="s">
        <v>247</v>
      </c>
      <c r="B64" s="244"/>
      <c r="C64" s="211">
        <v>130</v>
      </c>
      <c r="D64" s="23"/>
      <c r="E64" s="48"/>
      <c r="F64" s="161"/>
      <c r="G64" s="206"/>
      <c r="H64" s="23"/>
      <c r="I64" s="48"/>
      <c r="J64" s="159">
        <v>19.600000000000001</v>
      </c>
      <c r="K64" s="194">
        <f>J64/30</f>
        <v>0.65333333333333343</v>
      </c>
    </row>
    <row r="65" spans="1:11" x14ac:dyDescent="0.2">
      <c r="A65" s="196" t="s">
        <v>255</v>
      </c>
      <c r="B65" s="197"/>
      <c r="C65" s="211">
        <v>130</v>
      </c>
      <c r="D65" s="21"/>
      <c r="E65" s="48"/>
      <c r="F65" s="193">
        <f>F29</f>
        <v>10.4</v>
      </c>
      <c r="G65" s="48"/>
      <c r="H65" s="167">
        <v>25</v>
      </c>
      <c r="I65" s="48" t="s">
        <v>200</v>
      </c>
      <c r="J65" s="115">
        <f>H65*F65</f>
        <v>260</v>
      </c>
      <c r="K65" s="194">
        <f>J65/30</f>
        <v>8.6666666666666661</v>
      </c>
    </row>
    <row r="66" spans="1:11" x14ac:dyDescent="0.2">
      <c r="A66" s="196" t="s">
        <v>256</v>
      </c>
      <c r="B66" s="198"/>
      <c r="C66" s="211">
        <v>130</v>
      </c>
      <c r="D66" s="23"/>
      <c r="E66" s="48"/>
      <c r="F66" s="192">
        <f>SUM(F22:F24)</f>
        <v>22.126000000000001</v>
      </c>
      <c r="G66" s="19"/>
      <c r="H66" s="166">
        <v>20</v>
      </c>
      <c r="I66" s="19" t="s">
        <v>252</v>
      </c>
      <c r="J66" s="121">
        <f>H66*F66</f>
        <v>442.52000000000004</v>
      </c>
      <c r="K66" s="194">
        <f t="shared" ref="K66:K67" si="7">J66/30</f>
        <v>14.750666666666667</v>
      </c>
    </row>
    <row r="67" spans="1:11" x14ac:dyDescent="0.2">
      <c r="A67" s="204" t="s">
        <v>248</v>
      </c>
      <c r="B67" s="198"/>
      <c r="C67" s="211">
        <v>130</v>
      </c>
      <c r="D67" s="23"/>
      <c r="E67" s="48"/>
      <c r="F67" s="192"/>
      <c r="G67" s="206"/>
      <c r="H67" s="262" t="s">
        <v>249</v>
      </c>
      <c r="I67" s="263"/>
      <c r="J67" s="121">
        <f>0.0085*J10</f>
        <v>994.50000000000011</v>
      </c>
      <c r="K67" s="194">
        <f t="shared" si="7"/>
        <v>33.150000000000006</v>
      </c>
    </row>
    <row r="68" spans="1:11" x14ac:dyDescent="0.2">
      <c r="A68" s="204"/>
      <c r="B68" s="198"/>
      <c r="C68" s="145"/>
      <c r="D68" s="23"/>
      <c r="E68" s="48"/>
      <c r="F68" s="192"/>
      <c r="G68" s="206"/>
      <c r="H68" s="166"/>
      <c r="I68" s="206"/>
      <c r="J68" s="121"/>
      <c r="K68" s="159"/>
    </row>
    <row r="69" spans="1:11" x14ac:dyDescent="0.2">
      <c r="A69" s="251" t="s">
        <v>253</v>
      </c>
      <c r="B69" s="252"/>
      <c r="C69" s="155"/>
      <c r="D69" s="23"/>
      <c r="E69" s="48"/>
      <c r="F69" s="20"/>
      <c r="G69" s="48"/>
      <c r="H69" s="166"/>
      <c r="I69" s="48"/>
      <c r="J69" s="121"/>
      <c r="K69" s="159"/>
    </row>
    <row r="70" spans="1:11" x14ac:dyDescent="0.2">
      <c r="A70" s="243" t="s">
        <v>246</v>
      </c>
      <c r="B70" s="244"/>
      <c r="C70" s="145">
        <v>55</v>
      </c>
      <c r="D70" s="23"/>
      <c r="E70" s="48"/>
      <c r="F70" s="20"/>
      <c r="G70" s="48"/>
      <c r="H70" s="166"/>
      <c r="I70" s="48"/>
      <c r="J70" s="159">
        <v>19.87</v>
      </c>
      <c r="K70" s="159">
        <f>J70/C70</f>
        <v>0.3612727272727273</v>
      </c>
    </row>
    <row r="71" spans="1:11" x14ac:dyDescent="0.2">
      <c r="A71" s="243" t="s">
        <v>247</v>
      </c>
      <c r="B71" s="244"/>
      <c r="C71" s="145">
        <v>55</v>
      </c>
      <c r="D71" s="23"/>
      <c r="E71" s="48"/>
      <c r="F71" s="20"/>
      <c r="G71" s="48"/>
      <c r="H71" s="166"/>
      <c r="I71" s="48"/>
      <c r="J71" s="159">
        <v>27.56</v>
      </c>
      <c r="K71" s="159">
        <f>J71/C71</f>
        <v>0.50109090909090903</v>
      </c>
    </row>
    <row r="72" spans="1:11" x14ac:dyDescent="0.2">
      <c r="A72" s="204" t="s">
        <v>257</v>
      </c>
      <c r="B72" s="197"/>
      <c r="C72" s="145">
        <v>55</v>
      </c>
      <c r="D72" s="23"/>
      <c r="E72" s="48"/>
      <c r="F72" s="192">
        <f>F30</f>
        <v>5.5</v>
      </c>
      <c r="G72" s="48"/>
      <c r="H72" s="166">
        <v>30</v>
      </c>
      <c r="I72" s="48" t="s">
        <v>200</v>
      </c>
      <c r="J72" s="121">
        <f>H72*F72</f>
        <v>165</v>
      </c>
      <c r="K72" s="159">
        <f>J72/C72</f>
        <v>3</v>
      </c>
    </row>
    <row r="73" spans="1:11" x14ac:dyDescent="0.2">
      <c r="A73" s="204" t="s">
        <v>258</v>
      </c>
      <c r="B73" s="198"/>
      <c r="C73" s="145">
        <v>55</v>
      </c>
      <c r="D73" s="23"/>
      <c r="E73" s="48"/>
      <c r="F73" s="20">
        <f>F26</f>
        <v>3.3</v>
      </c>
      <c r="G73" s="206"/>
      <c r="H73" s="166">
        <v>25</v>
      </c>
      <c r="I73" s="206" t="s">
        <v>252</v>
      </c>
      <c r="J73" s="121">
        <f>H73*F73</f>
        <v>82.5</v>
      </c>
      <c r="K73" s="159">
        <f>J73/C73</f>
        <v>1.5</v>
      </c>
    </row>
    <row r="74" spans="1:11" x14ac:dyDescent="0.2">
      <c r="A74" s="204" t="s">
        <v>248</v>
      </c>
      <c r="B74" s="198"/>
      <c r="C74" s="145">
        <v>55</v>
      </c>
      <c r="D74" s="23"/>
      <c r="E74" s="48"/>
      <c r="F74" s="20"/>
      <c r="G74" s="48"/>
      <c r="H74" s="262" t="s">
        <v>254</v>
      </c>
      <c r="I74" s="263"/>
      <c r="J74" s="121">
        <f>0.01*J11</f>
        <v>453.75</v>
      </c>
      <c r="K74" s="159">
        <f>J74/C74</f>
        <v>8.25</v>
      </c>
    </row>
    <row r="75" spans="1:11" x14ac:dyDescent="0.2">
      <c r="A75" s="204"/>
      <c r="B75" s="198"/>
      <c r="C75" s="145"/>
      <c r="D75" s="23"/>
      <c r="E75" s="48"/>
      <c r="F75" s="20"/>
      <c r="G75" s="48"/>
      <c r="H75" s="209"/>
      <c r="I75" s="212"/>
      <c r="J75" s="121"/>
      <c r="K75" s="159"/>
    </row>
    <row r="76" spans="1:11" x14ac:dyDescent="0.2">
      <c r="A76" s="258" t="s">
        <v>277</v>
      </c>
      <c r="B76" s="259"/>
      <c r="C76" s="145"/>
      <c r="D76" s="23"/>
      <c r="E76" s="48"/>
      <c r="F76" s="20"/>
      <c r="G76" s="48"/>
      <c r="H76" s="209"/>
      <c r="I76" s="212"/>
      <c r="J76" s="121"/>
      <c r="K76" s="159"/>
    </row>
    <row r="77" spans="1:11" x14ac:dyDescent="0.2">
      <c r="A77" s="204" t="s">
        <v>283</v>
      </c>
      <c r="B77" s="198"/>
      <c r="C77" s="145">
        <v>130</v>
      </c>
      <c r="D77" s="210">
        <v>70</v>
      </c>
      <c r="E77" s="48"/>
      <c r="F77" s="20"/>
      <c r="G77" s="48"/>
      <c r="H77" s="209"/>
      <c r="I77" s="212"/>
      <c r="J77" s="20">
        <v>2100</v>
      </c>
      <c r="K77" s="159">
        <v>70</v>
      </c>
    </row>
    <row r="78" spans="1:11" x14ac:dyDescent="0.2">
      <c r="A78" s="204" t="s">
        <v>284</v>
      </c>
      <c r="B78" s="198"/>
      <c r="C78" s="145">
        <v>55</v>
      </c>
      <c r="D78" s="210">
        <v>85</v>
      </c>
      <c r="E78" s="48"/>
      <c r="F78" s="20"/>
      <c r="G78" s="48"/>
      <c r="H78" s="209"/>
      <c r="I78" s="212"/>
      <c r="J78" s="20">
        <v>1275</v>
      </c>
      <c r="K78" s="159">
        <v>85</v>
      </c>
    </row>
    <row r="79" spans="1:11" s="235" customFormat="1" x14ac:dyDescent="0.2">
      <c r="A79" s="204" t="s">
        <v>285</v>
      </c>
      <c r="B79" s="198"/>
      <c r="C79" s="145">
        <v>185</v>
      </c>
      <c r="D79" s="215">
        <v>8.5</v>
      </c>
      <c r="E79" s="48"/>
      <c r="F79" s="20"/>
      <c r="G79" s="48"/>
      <c r="H79" s="209"/>
      <c r="I79" s="212"/>
      <c r="J79" s="121">
        <v>1573</v>
      </c>
      <c r="K79" s="159">
        <v>8.5</v>
      </c>
    </row>
    <row r="80" spans="1:11" x14ac:dyDescent="0.2">
      <c r="A80" s="225" t="s">
        <v>278</v>
      </c>
      <c r="B80" s="226"/>
      <c r="C80" s="227" t="s">
        <v>280</v>
      </c>
      <c r="D80" s="228" t="s">
        <v>281</v>
      </c>
      <c r="E80" s="229"/>
      <c r="F80" s="230" t="s">
        <v>282</v>
      </c>
      <c r="G80" s="229"/>
      <c r="H80" s="231">
        <v>25</v>
      </c>
      <c r="I80" s="232" t="s">
        <v>279</v>
      </c>
      <c r="J80" s="233">
        <v>400</v>
      </c>
      <c r="K80" s="234"/>
    </row>
    <row r="81" spans="1:11" x14ac:dyDescent="0.2">
      <c r="A81" s="204"/>
      <c r="B81" s="198"/>
      <c r="C81" s="145"/>
      <c r="D81" s="23"/>
      <c r="E81" s="48"/>
      <c r="F81" s="20"/>
      <c r="G81" s="48"/>
      <c r="H81" s="209"/>
      <c r="I81" s="212"/>
      <c r="J81" s="121"/>
      <c r="K81" s="159"/>
    </row>
    <row r="82" spans="1:11" x14ac:dyDescent="0.2">
      <c r="A82" s="204" t="s">
        <v>266</v>
      </c>
      <c r="B82" s="219"/>
      <c r="C82" s="168"/>
      <c r="D82" s="169"/>
      <c r="E82" s="170" t="s">
        <v>267</v>
      </c>
      <c r="F82" s="220">
        <f>SUM(F29:F30)</f>
        <v>15.9</v>
      </c>
      <c r="G82" s="170" t="s">
        <v>268</v>
      </c>
      <c r="H82" s="171">
        <v>9</v>
      </c>
      <c r="I82" s="170" t="s">
        <v>10</v>
      </c>
      <c r="J82" s="172">
        <f>SUM(F82*H82)</f>
        <v>143.1</v>
      </c>
      <c r="K82" s="173"/>
    </row>
    <row r="83" spans="1:11" ht="16" thickBot="1" x14ac:dyDescent="0.25">
      <c r="A83" s="189"/>
      <c r="B83" s="186"/>
      <c r="C83" s="8"/>
      <c r="D83" s="8"/>
      <c r="E83" s="8"/>
      <c r="F83" s="8"/>
      <c r="G83" s="8"/>
      <c r="H83" s="8"/>
      <c r="I83" s="8"/>
      <c r="J83" s="174">
        <f>SUM(J22:J82)</f>
        <v>45501.054999999986</v>
      </c>
      <c r="K83" s="118"/>
    </row>
    <row r="84" spans="1:11" ht="17" thickTop="1" thickBot="1" x14ac:dyDescent="0.25">
      <c r="A84" s="189"/>
      <c r="B84" s="191"/>
      <c r="C84" s="8"/>
      <c r="D84" s="8"/>
      <c r="E84" s="8"/>
      <c r="F84" s="8"/>
      <c r="G84" s="8"/>
      <c r="H84" s="8"/>
      <c r="I84" s="8"/>
      <c r="J84" s="175"/>
      <c r="K84" s="176"/>
    </row>
    <row r="85" spans="1:11" ht="16" thickBot="1" x14ac:dyDescent="0.25">
      <c r="A85" s="2" t="s">
        <v>177</v>
      </c>
      <c r="B85" s="3"/>
      <c r="C85" s="3"/>
      <c r="D85" s="2"/>
      <c r="E85" s="3"/>
      <c r="F85" s="4"/>
      <c r="G85" s="4"/>
      <c r="H85" s="4"/>
      <c r="I85" s="4"/>
      <c r="J85" s="177">
        <f>J17-J83</f>
        <v>116873.94500000001</v>
      </c>
      <c r="K85" s="178"/>
    </row>
    <row r="86" spans="1:11" x14ac:dyDescent="0.2">
      <c r="A86" s="2"/>
      <c r="B86" s="3"/>
      <c r="C86" s="3"/>
      <c r="D86" s="2"/>
      <c r="E86" s="3"/>
      <c r="F86" s="4"/>
      <c r="G86" s="4"/>
      <c r="H86" s="4"/>
      <c r="I86" s="4"/>
      <c r="J86" s="179"/>
      <c r="K86" s="179"/>
    </row>
    <row r="87" spans="1:11" x14ac:dyDescent="0.2">
      <c r="A87" s="2" t="s">
        <v>178</v>
      </c>
      <c r="B87" s="3"/>
      <c r="D87" s="2"/>
      <c r="E87" s="3"/>
      <c r="F87" s="4"/>
      <c r="G87" s="4"/>
      <c r="H87" s="4"/>
      <c r="I87" s="4"/>
      <c r="J87" s="179"/>
      <c r="K87" s="179"/>
    </row>
  </sheetData>
  <mergeCells count="41">
    <mergeCell ref="A76:B76"/>
    <mergeCell ref="M40:M42"/>
    <mergeCell ref="N40:N42"/>
    <mergeCell ref="H74:I74"/>
    <mergeCell ref="A46:B46"/>
    <mergeCell ref="A47:B47"/>
    <mergeCell ref="A48:B48"/>
    <mergeCell ref="A49:B49"/>
    <mergeCell ref="A50:B50"/>
    <mergeCell ref="A51:B51"/>
    <mergeCell ref="A54:B54"/>
    <mergeCell ref="A56:B56"/>
    <mergeCell ref="A57:B57"/>
    <mergeCell ref="A64:B64"/>
    <mergeCell ref="A63:B63"/>
    <mergeCell ref="H67:I67"/>
    <mergeCell ref="A20:B20"/>
    <mergeCell ref="A41:B41"/>
    <mergeCell ref="A33:B33"/>
    <mergeCell ref="A29:B29"/>
    <mergeCell ref="A30:B30"/>
    <mergeCell ref="A37:B37"/>
    <mergeCell ref="A38:B38"/>
    <mergeCell ref="A39:B39"/>
    <mergeCell ref="A40:B40"/>
    <mergeCell ref="A23:B23"/>
    <mergeCell ref="A22:B22"/>
    <mergeCell ref="A24:B24"/>
    <mergeCell ref="A26:B26"/>
    <mergeCell ref="A36:B36"/>
    <mergeCell ref="A35:B35"/>
    <mergeCell ref="A71:B71"/>
    <mergeCell ref="A44:B44"/>
    <mergeCell ref="A45:B45"/>
    <mergeCell ref="A42:B42"/>
    <mergeCell ref="A69:B69"/>
    <mergeCell ref="A70:B70"/>
    <mergeCell ref="A52:B52"/>
    <mergeCell ref="A55:B55"/>
    <mergeCell ref="A58:B58"/>
    <mergeCell ref="A62:B62"/>
  </mergeCells>
  <phoneticPr fontId="6" type="noConversion"/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"/>
  <sheetViews>
    <sheetView tabSelected="1" topLeftCell="A36" zoomScale="66" workbookViewId="0">
      <selection activeCell="K44" sqref="K44"/>
    </sheetView>
  </sheetViews>
  <sheetFormatPr baseColWidth="10" defaultRowHeight="15" x14ac:dyDescent="0.2"/>
  <cols>
    <col min="3" max="3" width="12.83203125" bestFit="1" customWidth="1"/>
  </cols>
  <sheetData>
    <row r="1" spans="1:15" ht="16" x14ac:dyDescent="0.2">
      <c r="A1" s="30" t="s">
        <v>11</v>
      </c>
      <c r="B1" s="30"/>
      <c r="C1" s="31"/>
      <c r="D1" s="5"/>
      <c r="E1" s="4"/>
      <c r="F1" s="1"/>
      <c r="G1" s="2" t="s">
        <v>12</v>
      </c>
      <c r="H1" s="3"/>
      <c r="I1" s="32">
        <v>43555</v>
      </c>
      <c r="J1" s="33"/>
      <c r="K1" s="6" t="s">
        <v>1</v>
      </c>
      <c r="L1" s="4" t="s">
        <v>269</v>
      </c>
      <c r="M1" s="4"/>
      <c r="N1" s="4"/>
      <c r="O1" s="4"/>
    </row>
    <row r="2" spans="1:15" x14ac:dyDescent="0.2">
      <c r="A2" s="34"/>
      <c r="B2" s="27" t="s">
        <v>13</v>
      </c>
      <c r="C2" s="35" t="s">
        <v>14</v>
      </c>
      <c r="D2" s="36">
        <f>+I1-336</f>
        <v>43219</v>
      </c>
      <c r="E2" s="36">
        <f>+D2+31</f>
        <v>43250</v>
      </c>
      <c r="F2" s="36">
        <f>+E2+30</f>
        <v>43280</v>
      </c>
      <c r="G2" s="36">
        <f>+F2+31</f>
        <v>43311</v>
      </c>
      <c r="H2" s="36">
        <f>+G2+31</f>
        <v>43342</v>
      </c>
      <c r="I2" s="36">
        <f t="shared" ref="I2:O2" si="0">+H2+31</f>
        <v>43373</v>
      </c>
      <c r="J2" s="36">
        <f t="shared" si="0"/>
        <v>43404</v>
      </c>
      <c r="K2" s="36">
        <f>+J2+30</f>
        <v>43434</v>
      </c>
      <c r="L2" s="36">
        <f t="shared" si="0"/>
        <v>43465</v>
      </c>
      <c r="M2" s="36">
        <f t="shared" si="0"/>
        <v>43496</v>
      </c>
      <c r="N2" s="36">
        <f>+M2+28</f>
        <v>43524</v>
      </c>
      <c r="O2" s="36">
        <f t="shared" si="0"/>
        <v>43555</v>
      </c>
    </row>
    <row r="3" spans="1:15" x14ac:dyDescent="0.2">
      <c r="A3" s="37" t="s">
        <v>15</v>
      </c>
      <c r="B3" s="29"/>
      <c r="C3" s="38" t="s">
        <v>3</v>
      </c>
      <c r="D3" s="39"/>
      <c r="E3" s="39"/>
      <c r="F3" s="39"/>
      <c r="G3" s="39"/>
      <c r="H3" s="28"/>
      <c r="I3" s="39"/>
      <c r="J3" s="28"/>
      <c r="K3" s="39"/>
      <c r="L3" s="28"/>
      <c r="M3" s="39"/>
      <c r="N3" s="28"/>
      <c r="O3" s="39"/>
    </row>
    <row r="4" spans="1:15" x14ac:dyDescent="0.2">
      <c r="A4" s="40" t="s">
        <v>16</v>
      </c>
      <c r="B4" s="40"/>
      <c r="C4" s="41"/>
      <c r="D4" s="42"/>
      <c r="E4" s="42"/>
      <c r="F4" s="42"/>
      <c r="G4" s="42"/>
      <c r="H4" s="17"/>
      <c r="I4" s="42"/>
      <c r="J4" s="17"/>
      <c r="K4" s="42"/>
      <c r="L4" s="17"/>
      <c r="M4" s="42"/>
      <c r="N4" s="17"/>
      <c r="O4" s="42"/>
    </row>
    <row r="5" spans="1:15" x14ac:dyDescent="0.2">
      <c r="A5" s="2" t="s">
        <v>17</v>
      </c>
      <c r="B5" s="2"/>
      <c r="C5" s="43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2">
      <c r="A6" s="2" t="s">
        <v>205</v>
      </c>
      <c r="B6" s="2"/>
      <c r="C6" s="138">
        <v>117000</v>
      </c>
      <c r="D6" s="23"/>
      <c r="E6" s="42"/>
      <c r="F6" s="42"/>
      <c r="G6" s="42"/>
      <c r="H6" s="42"/>
      <c r="I6" s="42"/>
      <c r="J6" s="42"/>
      <c r="K6" s="138">
        <v>117000</v>
      </c>
      <c r="L6" s="138"/>
      <c r="M6" s="42"/>
      <c r="N6" s="42"/>
      <c r="O6" s="42"/>
    </row>
    <row r="7" spans="1:15" x14ac:dyDescent="0.2">
      <c r="A7" s="2" t="s">
        <v>206</v>
      </c>
      <c r="B7" s="2"/>
      <c r="C7" s="42">
        <v>45375</v>
      </c>
      <c r="D7" s="23"/>
      <c r="E7" s="42"/>
      <c r="F7" s="42"/>
      <c r="G7" s="42"/>
      <c r="H7" s="42"/>
      <c r="I7" s="42"/>
      <c r="J7" s="42"/>
      <c r="K7" s="42">
        <v>45375</v>
      </c>
      <c r="L7" s="42"/>
      <c r="M7" s="42"/>
      <c r="N7" s="42"/>
      <c r="O7" s="42"/>
    </row>
    <row r="8" spans="1:15" x14ac:dyDescent="0.2">
      <c r="A8" s="2" t="s">
        <v>31</v>
      </c>
      <c r="B8" s="2"/>
      <c r="C8" s="47"/>
      <c r="D8" s="46"/>
      <c r="E8" s="42"/>
      <c r="F8" s="42"/>
      <c r="G8" s="42"/>
      <c r="H8" s="42"/>
      <c r="I8" s="42"/>
      <c r="J8" s="42"/>
      <c r="K8" s="47"/>
      <c r="L8" s="42"/>
      <c r="M8" s="42"/>
      <c r="N8" s="42"/>
      <c r="O8" s="42"/>
    </row>
    <row r="9" spans="1:15" x14ac:dyDescent="0.2">
      <c r="A9" s="9" t="s">
        <v>32</v>
      </c>
      <c r="B9" s="9"/>
      <c r="C9" s="42"/>
      <c r="D9" s="4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x14ac:dyDescent="0.2">
      <c r="A10" s="9" t="s">
        <v>33</v>
      </c>
      <c r="B10" s="9"/>
      <c r="C10" s="42"/>
      <c r="D10" s="4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x14ac:dyDescent="0.2">
      <c r="A11" s="9" t="s">
        <v>34</v>
      </c>
      <c r="B11" s="9"/>
      <c r="C11" s="42"/>
      <c r="D11" s="4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x14ac:dyDescent="0.2">
      <c r="A12" s="49" t="s">
        <v>35</v>
      </c>
      <c r="B12" s="50"/>
      <c r="C12" s="51">
        <v>162375</v>
      </c>
      <c r="D12" s="52">
        <f t="shared" ref="D12:O12" si="1">SUM(D5:D11)</f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3">
        <f t="shared" si="1"/>
        <v>0</v>
      </c>
      <c r="I12" s="52">
        <f t="shared" si="1"/>
        <v>0</v>
      </c>
      <c r="J12" s="53">
        <f t="shared" si="1"/>
        <v>0</v>
      </c>
      <c r="K12" s="51">
        <v>162375</v>
      </c>
      <c r="L12" s="53">
        <f t="shared" si="1"/>
        <v>0</v>
      </c>
      <c r="M12" s="52">
        <f t="shared" si="1"/>
        <v>0</v>
      </c>
      <c r="N12" s="53">
        <f t="shared" si="1"/>
        <v>0</v>
      </c>
      <c r="O12" s="52">
        <f t="shared" si="1"/>
        <v>0</v>
      </c>
    </row>
    <row r="13" spans="1:15" x14ac:dyDescent="0.2">
      <c r="A13" s="2" t="s">
        <v>36</v>
      </c>
      <c r="B13" s="2"/>
      <c r="C13" s="47"/>
      <c r="D13" s="54"/>
      <c r="E13" s="54"/>
      <c r="F13" s="54"/>
      <c r="G13" s="54"/>
      <c r="H13" s="1"/>
      <c r="I13" s="54"/>
      <c r="J13" s="1"/>
      <c r="K13" s="54"/>
      <c r="L13" s="1"/>
      <c r="M13" s="54"/>
      <c r="N13" s="1"/>
      <c r="O13" s="54"/>
    </row>
    <row r="14" spans="1:15" x14ac:dyDescent="0.2">
      <c r="A14" s="9" t="s">
        <v>37</v>
      </c>
      <c r="B14" s="2"/>
      <c r="C14" s="42"/>
      <c r="D14" s="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2">
      <c r="A15" s="1" t="s">
        <v>38</v>
      </c>
      <c r="B15" s="9"/>
      <c r="C15" s="42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2">
      <c r="A16" s="9" t="s">
        <v>39</v>
      </c>
      <c r="B16" s="9"/>
      <c r="C16" s="42"/>
      <c r="D16" s="1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x14ac:dyDescent="0.2">
      <c r="A17" s="9" t="s">
        <v>34</v>
      </c>
      <c r="B17" s="9"/>
      <c r="C17" s="42"/>
      <c r="D17" s="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x14ac:dyDescent="0.2">
      <c r="A18" s="1" t="s">
        <v>40</v>
      </c>
      <c r="B18" s="9" t="s">
        <v>41</v>
      </c>
      <c r="C18" s="42"/>
      <c r="D18" s="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x14ac:dyDescent="0.2">
      <c r="A19" s="1"/>
      <c r="B19" s="1" t="s">
        <v>34</v>
      </c>
      <c r="C19" s="42"/>
      <c r="D19" s="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x14ac:dyDescent="0.2">
      <c r="A20" s="55" t="s">
        <v>42</v>
      </c>
      <c r="B20" s="50"/>
      <c r="C20" s="56">
        <f t="shared" ref="C20:O20" si="2">SUM(C13:C19)</f>
        <v>0</v>
      </c>
      <c r="D20" s="57">
        <f t="shared" si="2"/>
        <v>0</v>
      </c>
      <c r="E20" s="57">
        <f t="shared" si="2"/>
        <v>0</v>
      </c>
      <c r="F20" s="57">
        <f t="shared" si="2"/>
        <v>0</v>
      </c>
      <c r="G20" s="57">
        <f t="shared" si="2"/>
        <v>0</v>
      </c>
      <c r="H20" s="14">
        <f t="shared" si="2"/>
        <v>0</v>
      </c>
      <c r="I20" s="57">
        <f t="shared" si="2"/>
        <v>0</v>
      </c>
      <c r="J20" s="14">
        <f t="shared" si="2"/>
        <v>0</v>
      </c>
      <c r="K20" s="57">
        <f t="shared" si="2"/>
        <v>0</v>
      </c>
      <c r="L20" s="14">
        <f t="shared" si="2"/>
        <v>0</v>
      </c>
      <c r="M20" s="57">
        <f t="shared" si="2"/>
        <v>0</v>
      </c>
      <c r="N20" s="14">
        <f t="shared" si="2"/>
        <v>0</v>
      </c>
      <c r="O20" s="57">
        <f t="shared" si="2"/>
        <v>0</v>
      </c>
    </row>
    <row r="21" spans="1:15" x14ac:dyDescent="0.2">
      <c r="A21" s="8"/>
      <c r="B21" s="8"/>
      <c r="C21" s="41"/>
      <c r="D21" s="58"/>
      <c r="E21" s="58"/>
      <c r="F21" s="58"/>
      <c r="G21" s="38"/>
      <c r="H21" s="8"/>
      <c r="I21" s="38"/>
      <c r="J21" s="8"/>
      <c r="K21" s="38"/>
      <c r="L21" s="8"/>
      <c r="M21" s="38"/>
      <c r="N21" s="8"/>
      <c r="O21" s="58"/>
    </row>
    <row r="22" spans="1:15" ht="16" thickBot="1" x14ac:dyDescent="0.25">
      <c r="A22" s="59" t="s">
        <v>43</v>
      </c>
      <c r="B22" s="59"/>
      <c r="C22" s="60">
        <f t="shared" ref="C22:O22" si="3">C12+C20</f>
        <v>162375</v>
      </c>
      <c r="D22" s="61">
        <f t="shared" si="3"/>
        <v>0</v>
      </c>
      <c r="E22" s="62">
        <f t="shared" si="3"/>
        <v>0</v>
      </c>
      <c r="F22" s="62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  <c r="K22" s="63">
        <f t="shared" si="3"/>
        <v>162375</v>
      </c>
      <c r="L22" s="63">
        <f t="shared" si="3"/>
        <v>0</v>
      </c>
      <c r="M22" s="63">
        <f t="shared" si="3"/>
        <v>0</v>
      </c>
      <c r="N22" s="63">
        <f t="shared" si="3"/>
        <v>0</v>
      </c>
      <c r="O22" s="62">
        <f t="shared" si="3"/>
        <v>0</v>
      </c>
    </row>
    <row r="23" spans="1:15" ht="16" thickTop="1" x14ac:dyDescent="0.2">
      <c r="A23" s="1"/>
      <c r="B23" s="1"/>
      <c r="C23" s="6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65" t="s">
        <v>44</v>
      </c>
      <c r="B24" s="65"/>
      <c r="C24" s="66"/>
      <c r="D24" s="10"/>
      <c r="E24" s="10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">
      <c r="A25" s="2" t="s">
        <v>47</v>
      </c>
      <c r="B25" s="2"/>
      <c r="C25" s="47"/>
      <c r="D25" s="46"/>
      <c r="E25" s="42"/>
      <c r="F25" s="46"/>
      <c r="G25" s="42"/>
      <c r="H25" s="46"/>
      <c r="I25" s="42"/>
      <c r="J25" s="46"/>
      <c r="K25" s="42"/>
      <c r="L25" s="42"/>
      <c r="M25" s="42"/>
      <c r="N25" s="42"/>
      <c r="O25" s="42"/>
    </row>
    <row r="26" spans="1:15" x14ac:dyDescent="0.2">
      <c r="A26" s="9" t="s">
        <v>48</v>
      </c>
      <c r="B26" s="9"/>
      <c r="C26" s="238">
        <v>11835</v>
      </c>
      <c r="D26" s="46"/>
      <c r="E26" s="42"/>
      <c r="F26" s="42">
        <v>2995</v>
      </c>
      <c r="G26" s="42"/>
      <c r="H26" s="42">
        <v>2400</v>
      </c>
      <c r="I26" s="42">
        <v>2400</v>
      </c>
      <c r="J26" s="42">
        <v>2000</v>
      </c>
      <c r="K26" s="42">
        <v>2040</v>
      </c>
      <c r="L26" s="42"/>
      <c r="M26" s="42"/>
      <c r="N26" s="42"/>
      <c r="O26" s="42"/>
    </row>
    <row r="27" spans="1:15" x14ac:dyDescent="0.2">
      <c r="A27" s="9" t="s">
        <v>49</v>
      </c>
      <c r="B27" s="9"/>
      <c r="C27" s="42">
        <v>8071</v>
      </c>
      <c r="D27" s="46"/>
      <c r="E27" s="42"/>
      <c r="F27" s="42">
        <v>4056</v>
      </c>
      <c r="G27" s="42">
        <v>4015</v>
      </c>
      <c r="H27" s="42"/>
      <c r="I27" s="42"/>
      <c r="J27" s="42"/>
      <c r="K27" s="42"/>
      <c r="L27" s="42"/>
      <c r="M27" s="42"/>
      <c r="N27" s="42"/>
      <c r="O27" s="42"/>
    </row>
    <row r="28" spans="1:15" x14ac:dyDescent="0.2">
      <c r="A28" s="9" t="s">
        <v>50</v>
      </c>
      <c r="B28" s="9"/>
      <c r="C28" s="42">
        <v>17623</v>
      </c>
      <c r="D28" s="46"/>
      <c r="E28" s="42"/>
      <c r="F28" s="42"/>
      <c r="G28" s="42"/>
      <c r="H28" s="42">
        <v>10903</v>
      </c>
      <c r="I28" s="42">
        <v>6720</v>
      </c>
      <c r="J28" s="42"/>
      <c r="K28" s="42"/>
      <c r="L28" s="42"/>
      <c r="M28" s="42"/>
      <c r="N28" s="42"/>
      <c r="O28" s="42"/>
    </row>
    <row r="29" spans="1:15" x14ac:dyDescent="0.2">
      <c r="A29" s="9" t="s">
        <v>51</v>
      </c>
      <c r="B29" s="9"/>
      <c r="C29" s="42">
        <v>1448</v>
      </c>
      <c r="D29" s="42">
        <v>1448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2">
      <c r="A30" s="9" t="s">
        <v>52</v>
      </c>
      <c r="B30" s="9"/>
      <c r="C30" s="222">
        <v>950</v>
      </c>
      <c r="D30" s="46"/>
      <c r="E30" s="42"/>
      <c r="F30" s="42"/>
      <c r="G30" s="42">
        <v>443</v>
      </c>
      <c r="H30" s="42">
        <v>83</v>
      </c>
      <c r="I30" s="42"/>
      <c r="J30" s="42"/>
      <c r="K30" s="42">
        <v>425</v>
      </c>
      <c r="L30" s="42"/>
      <c r="M30" s="42"/>
      <c r="N30" s="42"/>
      <c r="O30" s="42"/>
    </row>
    <row r="31" spans="1:15" x14ac:dyDescent="0.2">
      <c r="A31" s="1" t="s">
        <v>53</v>
      </c>
      <c r="B31" s="9"/>
      <c r="C31" s="42">
        <v>333</v>
      </c>
      <c r="D31" s="46"/>
      <c r="E31" s="42"/>
      <c r="F31" s="42">
        <v>55.5</v>
      </c>
      <c r="G31" s="42">
        <v>55.5</v>
      </c>
      <c r="H31" s="42">
        <v>55.5</v>
      </c>
      <c r="I31" s="42">
        <v>55.5</v>
      </c>
      <c r="J31" s="42">
        <v>55.5</v>
      </c>
      <c r="K31" s="42">
        <v>55.5</v>
      </c>
      <c r="L31" s="42"/>
      <c r="M31" s="42"/>
      <c r="N31" s="42"/>
      <c r="O31" s="42"/>
    </row>
    <row r="32" spans="1:15" x14ac:dyDescent="0.2">
      <c r="A32" s="9" t="s">
        <v>54</v>
      </c>
      <c r="B32" s="9"/>
      <c r="C32" s="42">
        <v>15748</v>
      </c>
      <c r="D32" s="46"/>
      <c r="E32" s="42"/>
      <c r="F32" s="42">
        <v>1973</v>
      </c>
      <c r="G32" s="42"/>
      <c r="H32" s="42"/>
      <c r="I32" s="42"/>
      <c r="J32" s="42">
        <v>4675</v>
      </c>
      <c r="K32" s="42">
        <v>9100</v>
      </c>
      <c r="L32" s="42"/>
      <c r="M32" s="42"/>
      <c r="N32" s="42"/>
      <c r="O32" s="42"/>
    </row>
    <row r="33" spans="1:15" x14ac:dyDescent="0.2">
      <c r="A33" s="9" t="s">
        <v>46</v>
      </c>
      <c r="B33" s="9"/>
      <c r="C33" s="42"/>
      <c r="D33" s="4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x14ac:dyDescent="0.2">
      <c r="A34" s="9" t="s">
        <v>55</v>
      </c>
      <c r="B34" s="9"/>
      <c r="C34" s="42">
        <v>45.9</v>
      </c>
      <c r="D34" s="46"/>
      <c r="E34" s="42"/>
      <c r="F34" s="42">
        <v>45.9</v>
      </c>
      <c r="G34" s="42"/>
      <c r="H34" s="42"/>
      <c r="I34" s="42"/>
      <c r="J34" s="42"/>
      <c r="K34" s="42"/>
      <c r="L34" s="42"/>
      <c r="M34" s="42"/>
      <c r="N34" s="42"/>
      <c r="O34" s="42"/>
    </row>
    <row r="35" spans="1:15" x14ac:dyDescent="0.2">
      <c r="A35" s="71"/>
      <c r="B35" s="71"/>
      <c r="C35" s="70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x14ac:dyDescent="0.2">
      <c r="A36" s="2" t="s">
        <v>56</v>
      </c>
      <c r="B36" s="2"/>
      <c r="C36" s="4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x14ac:dyDescent="0.2">
      <c r="A37" s="68" t="s">
        <v>57</v>
      </c>
      <c r="B37" s="9"/>
      <c r="C37" s="42"/>
      <c r="D37" s="4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">
      <c r="A38" s="9" t="s">
        <v>58</v>
      </c>
      <c r="B38" s="68"/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x14ac:dyDescent="0.2">
      <c r="A39" s="1" t="s">
        <v>272</v>
      </c>
      <c r="B39" s="9"/>
      <c r="C39" s="42">
        <f>F39+I39+K39</f>
        <v>3000</v>
      </c>
      <c r="D39" s="46"/>
      <c r="E39" s="42"/>
      <c r="F39" s="42">
        <v>1100</v>
      </c>
      <c r="G39" s="42"/>
      <c r="H39" s="42"/>
      <c r="I39" s="42">
        <v>900</v>
      </c>
      <c r="J39" s="42"/>
      <c r="K39" s="42">
        <v>1000</v>
      </c>
      <c r="L39" s="42"/>
      <c r="M39" s="42"/>
      <c r="N39" s="42"/>
      <c r="O39" s="42"/>
    </row>
    <row r="40" spans="1:15" x14ac:dyDescent="0.2">
      <c r="A40" s="9" t="s">
        <v>59</v>
      </c>
      <c r="B40" s="68"/>
      <c r="C40" s="42">
        <v>1800</v>
      </c>
      <c r="D40" s="46">
        <v>150</v>
      </c>
      <c r="E40" s="42">
        <v>150</v>
      </c>
      <c r="F40" s="46">
        <v>150</v>
      </c>
      <c r="G40" s="42">
        <v>150</v>
      </c>
      <c r="H40" s="46">
        <v>150</v>
      </c>
      <c r="I40" s="42">
        <v>150</v>
      </c>
      <c r="J40" s="46">
        <v>150</v>
      </c>
      <c r="K40" s="42">
        <v>150</v>
      </c>
      <c r="L40" s="46">
        <v>150</v>
      </c>
      <c r="M40" s="42">
        <v>150</v>
      </c>
      <c r="N40" s="46">
        <v>150</v>
      </c>
      <c r="O40" s="42">
        <v>150</v>
      </c>
    </row>
    <row r="41" spans="1:15" x14ac:dyDescent="0.2">
      <c r="A41" s="9" t="s">
        <v>288</v>
      </c>
      <c r="B41" s="68"/>
      <c r="C41" s="42">
        <v>240</v>
      </c>
      <c r="D41" s="46">
        <v>240</v>
      </c>
      <c r="E41" s="42"/>
      <c r="F41" s="46"/>
      <c r="G41" s="42"/>
      <c r="H41" s="46"/>
      <c r="I41" s="42"/>
      <c r="J41" s="46"/>
      <c r="K41" s="42"/>
      <c r="L41" s="46"/>
      <c r="M41" s="42"/>
      <c r="N41" s="46"/>
      <c r="O41" s="42"/>
    </row>
    <row r="42" spans="1:15" x14ac:dyDescent="0.2">
      <c r="A42" s="69"/>
      <c r="B42" s="69"/>
      <c r="C42" s="7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x14ac:dyDescent="0.2">
      <c r="A43" s="2" t="s">
        <v>60</v>
      </c>
      <c r="B43" s="2"/>
      <c r="C43" s="4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x14ac:dyDescent="0.2">
      <c r="A44" s="9" t="s">
        <v>61</v>
      </c>
      <c r="B44" s="8"/>
      <c r="C44" s="42">
        <v>3313.75</v>
      </c>
      <c r="D44" s="46">
        <v>1533.75</v>
      </c>
      <c r="E44" s="42"/>
      <c r="F44" s="42"/>
      <c r="G44" s="42"/>
      <c r="H44" s="42"/>
      <c r="I44" s="224">
        <v>780</v>
      </c>
      <c r="J44" s="223"/>
      <c r="K44" s="224">
        <v>1000</v>
      </c>
      <c r="L44" s="223"/>
      <c r="M44" s="223"/>
      <c r="N44" s="223"/>
      <c r="O44" s="224"/>
    </row>
    <row r="45" spans="1:15" x14ac:dyDescent="0.2">
      <c r="A45" s="9" t="s">
        <v>62</v>
      </c>
      <c r="B45" s="73"/>
      <c r="C45" s="42"/>
      <c r="D45" s="46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x14ac:dyDescent="0.2">
      <c r="A46" s="9" t="s">
        <v>63</v>
      </c>
      <c r="B46" s="68"/>
      <c r="C46" s="42"/>
      <c r="D46" s="46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2">
      <c r="A47" s="9" t="s">
        <v>64</v>
      </c>
      <c r="B47" s="9"/>
      <c r="C47" s="42"/>
      <c r="D47" s="2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">
      <c r="A48" s="9" t="s">
        <v>65</v>
      </c>
      <c r="B48" s="9"/>
      <c r="C48" s="42"/>
      <c r="D48" s="4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2">
      <c r="A49" s="9" t="s">
        <v>66</v>
      </c>
      <c r="B49" s="9"/>
      <c r="C49" s="42">
        <v>600</v>
      </c>
      <c r="D49" s="46">
        <v>50</v>
      </c>
      <c r="E49" s="42">
        <v>50</v>
      </c>
      <c r="F49" s="42">
        <v>50</v>
      </c>
      <c r="G49" s="42">
        <v>50</v>
      </c>
      <c r="H49" s="42">
        <v>50</v>
      </c>
      <c r="I49" s="42">
        <v>50</v>
      </c>
      <c r="J49" s="42">
        <v>50</v>
      </c>
      <c r="K49" s="42">
        <v>50</v>
      </c>
      <c r="L49" s="42">
        <v>50</v>
      </c>
      <c r="M49" s="42">
        <v>50</v>
      </c>
      <c r="N49" s="42">
        <v>50</v>
      </c>
      <c r="O49" s="42">
        <v>50</v>
      </c>
    </row>
    <row r="50" spans="1:15" x14ac:dyDescent="0.2">
      <c r="A50" s="1" t="s">
        <v>67</v>
      </c>
      <c r="B50" s="9"/>
      <c r="C50" s="42"/>
      <c r="D50" s="4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">
      <c r="A51" s="9" t="s">
        <v>68</v>
      </c>
      <c r="B51" s="9"/>
      <c r="C51" s="42"/>
      <c r="D51" s="4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x14ac:dyDescent="0.2">
      <c r="A52" s="73" t="s">
        <v>69</v>
      </c>
      <c r="B52" s="9"/>
      <c r="C52" s="42">
        <v>190</v>
      </c>
      <c r="D52" s="42">
        <v>190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x14ac:dyDescent="0.2">
      <c r="A53" s="9" t="s">
        <v>70</v>
      </c>
      <c r="B53" s="9"/>
      <c r="C53" s="42"/>
      <c r="D53" s="46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x14ac:dyDescent="0.2">
      <c r="A54" s="9" t="s">
        <v>71</v>
      </c>
      <c r="B54" s="9"/>
      <c r="C54" s="42">
        <v>500</v>
      </c>
      <c r="D54" s="46">
        <f>C54/12</f>
        <v>41.666666666666664</v>
      </c>
      <c r="E54" s="42">
        <f>C54/12</f>
        <v>41.666666666666664</v>
      </c>
      <c r="F54" s="42">
        <f>C54/12</f>
        <v>41.666666666666664</v>
      </c>
      <c r="G54" s="42">
        <f>C54/12</f>
        <v>41.666666666666664</v>
      </c>
      <c r="H54" s="42">
        <f>C54/12</f>
        <v>41.666666666666664</v>
      </c>
      <c r="I54" s="42">
        <f>C54/12</f>
        <v>41.666666666666664</v>
      </c>
      <c r="J54" s="42">
        <f>C54/12</f>
        <v>41.666666666666664</v>
      </c>
      <c r="K54" s="42">
        <f>C54/12</f>
        <v>41.666666666666664</v>
      </c>
      <c r="L54" s="42">
        <f>C54/12</f>
        <v>41.666666666666664</v>
      </c>
      <c r="M54" s="42">
        <f>C54/12</f>
        <v>41.666666666666664</v>
      </c>
      <c r="N54" s="42">
        <f>C54/12</f>
        <v>41.666666666666664</v>
      </c>
      <c r="O54" s="42">
        <f>C54/12</f>
        <v>41.666666666666664</v>
      </c>
    </row>
    <row r="55" spans="1:15" x14ac:dyDescent="0.2">
      <c r="A55" s="68" t="s">
        <v>72</v>
      </c>
      <c r="B55" s="9"/>
      <c r="C55" s="42"/>
      <c r="D55" s="46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x14ac:dyDescent="0.2">
      <c r="A56" s="9" t="s">
        <v>73</v>
      </c>
      <c r="B56" s="9"/>
      <c r="C56" s="42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x14ac:dyDescent="0.2">
      <c r="A57" s="9" t="s">
        <v>34</v>
      </c>
      <c r="B57" s="46"/>
      <c r="C57" s="42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x14ac:dyDescent="0.2">
      <c r="A58" s="2" t="s">
        <v>74</v>
      </c>
      <c r="B58" s="2"/>
      <c r="C58" s="51">
        <f t="shared" ref="C58:O58" si="4">SUM(C25:C57)</f>
        <v>65697.649999999994</v>
      </c>
      <c r="D58" s="51">
        <f t="shared" si="4"/>
        <v>3653.4166666666665</v>
      </c>
      <c r="E58" s="51">
        <f t="shared" si="4"/>
        <v>241.66666666666666</v>
      </c>
      <c r="F58" s="51">
        <f t="shared" si="4"/>
        <v>10467.066666666666</v>
      </c>
      <c r="G58" s="51">
        <f t="shared" si="4"/>
        <v>4755.166666666667</v>
      </c>
      <c r="H58" s="51">
        <f t="shared" si="4"/>
        <v>13683.166666666666</v>
      </c>
      <c r="I58" s="51">
        <f t="shared" si="4"/>
        <v>11097.166666666666</v>
      </c>
      <c r="J58" s="51">
        <f t="shared" si="4"/>
        <v>6972.166666666667</v>
      </c>
      <c r="K58" s="51">
        <f t="shared" si="4"/>
        <v>13862.166666666666</v>
      </c>
      <c r="L58" s="51">
        <f t="shared" si="4"/>
        <v>241.66666666666666</v>
      </c>
      <c r="M58" s="51">
        <f t="shared" si="4"/>
        <v>241.66666666666666</v>
      </c>
      <c r="N58" s="51">
        <f t="shared" si="4"/>
        <v>241.66666666666666</v>
      </c>
      <c r="O58" s="51">
        <f t="shared" si="4"/>
        <v>241.66666666666666</v>
      </c>
    </row>
    <row r="59" spans="1:15" x14ac:dyDescent="0.2">
      <c r="A59" s="5" t="s">
        <v>75</v>
      </c>
      <c r="B59" s="2"/>
      <c r="C59" s="47"/>
      <c r="D59" s="74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x14ac:dyDescent="0.2">
      <c r="A60" s="1" t="s">
        <v>76</v>
      </c>
      <c r="B60" s="46"/>
      <c r="C60" s="239">
        <v>63142.191806812138</v>
      </c>
      <c r="D60" s="239">
        <v>63142.191806812138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x14ac:dyDescent="0.2">
      <c r="A61" s="1" t="s">
        <v>77</v>
      </c>
      <c r="B61" s="46"/>
      <c r="C61" s="42"/>
      <c r="D61" s="4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x14ac:dyDescent="0.2">
      <c r="A62" s="8"/>
      <c r="B62" s="8"/>
      <c r="C62" s="43"/>
      <c r="D62" s="4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x14ac:dyDescent="0.2">
      <c r="A63" s="2" t="s">
        <v>78</v>
      </c>
      <c r="B63" s="75" t="s">
        <v>79</v>
      </c>
      <c r="C63" s="240">
        <v>26531.08764928078</v>
      </c>
      <c r="D63" s="240">
        <v>26531.08764928078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x14ac:dyDescent="0.2">
      <c r="A64" s="2"/>
      <c r="B64" s="75" t="s">
        <v>80</v>
      </c>
      <c r="C64" s="46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x14ac:dyDescent="0.2">
      <c r="A65" s="1"/>
      <c r="B65" s="46"/>
      <c r="C65" s="4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x14ac:dyDescent="0.2">
      <c r="A66" s="2" t="s">
        <v>81</v>
      </c>
      <c r="B66" s="2"/>
      <c r="C66" s="51">
        <f>SUM(C60:C65)</f>
        <v>89673.279456092918</v>
      </c>
      <c r="D66" s="51">
        <f>SUM(D60:D65)</f>
        <v>89673.279456092918</v>
      </c>
      <c r="E66" s="51">
        <f t="shared" ref="E66:O66" si="5">SUM(E60:E65)</f>
        <v>0</v>
      </c>
      <c r="F66" s="51">
        <f t="shared" si="5"/>
        <v>0</v>
      </c>
      <c r="G66" s="51">
        <f t="shared" si="5"/>
        <v>0</v>
      </c>
      <c r="H66" s="51">
        <f t="shared" si="5"/>
        <v>0</v>
      </c>
      <c r="I66" s="51">
        <f t="shared" si="5"/>
        <v>0</v>
      </c>
      <c r="J66" s="51">
        <f t="shared" si="5"/>
        <v>0</v>
      </c>
      <c r="K66" s="51">
        <f t="shared" si="5"/>
        <v>0</v>
      </c>
      <c r="L66" s="51">
        <f t="shared" si="5"/>
        <v>0</v>
      </c>
      <c r="M66" s="51">
        <f t="shared" si="5"/>
        <v>0</v>
      </c>
      <c r="N66" s="51">
        <f t="shared" si="5"/>
        <v>0</v>
      </c>
      <c r="O66" s="51">
        <f t="shared" si="5"/>
        <v>0</v>
      </c>
    </row>
    <row r="67" spans="1:15" x14ac:dyDescent="0.2">
      <c r="A67" s="2" t="s">
        <v>82</v>
      </c>
      <c r="B67" s="2"/>
      <c r="C67" s="47"/>
      <c r="D67" s="1"/>
      <c r="E67" s="54"/>
      <c r="F67" s="1"/>
      <c r="G67" s="54"/>
      <c r="H67" s="1"/>
      <c r="I67" s="54"/>
      <c r="J67" s="1"/>
      <c r="K67" s="54"/>
      <c r="L67" s="1"/>
      <c r="M67" s="54"/>
      <c r="N67" s="1"/>
      <c r="O67" s="54"/>
    </row>
    <row r="68" spans="1:15" x14ac:dyDescent="0.2">
      <c r="A68" s="75" t="s">
        <v>83</v>
      </c>
      <c r="B68" s="75"/>
      <c r="C68" s="42">
        <v>50000</v>
      </c>
      <c r="D68" s="46">
        <f>C68/12</f>
        <v>4166.666666666667</v>
      </c>
      <c r="E68" s="42">
        <v>4166.666666666667</v>
      </c>
      <c r="F68" s="42">
        <v>4166.666666666667</v>
      </c>
      <c r="G68" s="42">
        <v>4166.666666666667</v>
      </c>
      <c r="H68" s="42">
        <v>4166.666666666667</v>
      </c>
      <c r="I68" s="42">
        <v>4166.666666666667</v>
      </c>
      <c r="J68" s="42">
        <v>4166.666666666667</v>
      </c>
      <c r="K68" s="42">
        <v>4166.666666666667</v>
      </c>
      <c r="L68" s="42">
        <v>4166.666666666667</v>
      </c>
      <c r="M68" s="42">
        <v>4166.666666666667</v>
      </c>
      <c r="N68" s="42">
        <v>4166.666666666667</v>
      </c>
      <c r="O68" s="42">
        <v>4166.666666666667</v>
      </c>
    </row>
    <row r="69" spans="1:15" x14ac:dyDescent="0.2">
      <c r="A69" s="46"/>
      <c r="B69" s="46"/>
      <c r="C69" s="42"/>
      <c r="D69" s="4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x14ac:dyDescent="0.2">
      <c r="A70" s="9" t="s">
        <v>84</v>
      </c>
      <c r="B70" s="9"/>
      <c r="C70" s="115">
        <v>10060.5</v>
      </c>
      <c r="D70" s="115">
        <v>10060.5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x14ac:dyDescent="0.2">
      <c r="A71" s="76" t="s">
        <v>85</v>
      </c>
      <c r="B71" s="76"/>
      <c r="C71" s="51">
        <f>SUM(C68:C70)</f>
        <v>60060.5</v>
      </c>
      <c r="D71" s="51">
        <f t="shared" ref="D71:N71" si="6">SUM(D68:D70)</f>
        <v>14227.166666666668</v>
      </c>
      <c r="E71" s="51">
        <f t="shared" si="6"/>
        <v>4166.666666666667</v>
      </c>
      <c r="F71" s="51">
        <f t="shared" si="6"/>
        <v>4166.666666666667</v>
      </c>
      <c r="G71" s="51">
        <f t="shared" si="6"/>
        <v>4166.666666666667</v>
      </c>
      <c r="H71" s="51">
        <f t="shared" si="6"/>
        <v>4166.666666666667</v>
      </c>
      <c r="I71" s="51">
        <f t="shared" si="6"/>
        <v>4166.666666666667</v>
      </c>
      <c r="J71" s="51">
        <f t="shared" si="6"/>
        <v>4166.666666666667</v>
      </c>
      <c r="K71" s="51">
        <f t="shared" si="6"/>
        <v>4166.666666666667</v>
      </c>
      <c r="L71" s="51">
        <f t="shared" si="6"/>
        <v>4166.666666666667</v>
      </c>
      <c r="M71" s="51">
        <f t="shared" si="6"/>
        <v>4166.666666666667</v>
      </c>
      <c r="N71" s="51">
        <f t="shared" si="6"/>
        <v>4166.666666666667</v>
      </c>
      <c r="O71" s="51">
        <f>SUM(O68:O70)</f>
        <v>4166.666666666667</v>
      </c>
    </row>
    <row r="72" spans="1:15" ht="16" thickBot="1" x14ac:dyDescent="0.25">
      <c r="A72" s="77" t="s">
        <v>86</v>
      </c>
      <c r="B72" s="77"/>
      <c r="C72" s="78">
        <f>+C71+C66+C58</f>
        <v>215431.42945609291</v>
      </c>
      <c r="D72" s="78">
        <f t="shared" ref="D72:O72" si="7">+D71+D66+D58</f>
        <v>107553.86278942626</v>
      </c>
      <c r="E72" s="78">
        <f t="shared" si="7"/>
        <v>4408.3333333333339</v>
      </c>
      <c r="F72" s="78">
        <f t="shared" si="7"/>
        <v>14633.733333333334</v>
      </c>
      <c r="G72" s="78">
        <f t="shared" si="7"/>
        <v>8921.8333333333339</v>
      </c>
      <c r="H72" s="78">
        <f t="shared" si="7"/>
        <v>17849.833333333332</v>
      </c>
      <c r="I72" s="78">
        <f t="shared" si="7"/>
        <v>15263.833333333332</v>
      </c>
      <c r="J72" s="78">
        <f t="shared" si="7"/>
        <v>11138.833333333334</v>
      </c>
      <c r="K72" s="78">
        <f t="shared" si="7"/>
        <v>18028.833333333332</v>
      </c>
      <c r="L72" s="78">
        <f t="shared" si="7"/>
        <v>4408.3333333333339</v>
      </c>
      <c r="M72" s="78">
        <f t="shared" si="7"/>
        <v>4408.3333333333339</v>
      </c>
      <c r="N72" s="78">
        <f t="shared" si="7"/>
        <v>4408.3333333333339</v>
      </c>
      <c r="O72" s="78">
        <f t="shared" si="7"/>
        <v>4408.3333333333339</v>
      </c>
    </row>
    <row r="73" spans="1:15" ht="16" thickTop="1" x14ac:dyDescent="0.2">
      <c r="A73" s="75" t="s">
        <v>87</v>
      </c>
      <c r="B73" s="8"/>
      <c r="C73" s="51">
        <f t="shared" ref="C73:O73" si="8">+C22-C72</f>
        <v>-53056.429456092912</v>
      </c>
      <c r="D73" s="51">
        <f t="shared" si="8"/>
        <v>-107553.86278942626</v>
      </c>
      <c r="E73" s="51">
        <f t="shared" si="8"/>
        <v>-4408.3333333333339</v>
      </c>
      <c r="F73" s="51">
        <f t="shared" si="8"/>
        <v>-14633.733333333334</v>
      </c>
      <c r="G73" s="51">
        <f t="shared" si="8"/>
        <v>-8921.8333333333339</v>
      </c>
      <c r="H73" s="51">
        <f t="shared" si="8"/>
        <v>-17849.833333333332</v>
      </c>
      <c r="I73" s="51">
        <f t="shared" si="8"/>
        <v>-15263.833333333332</v>
      </c>
      <c r="J73" s="51">
        <f t="shared" si="8"/>
        <v>-11138.833333333334</v>
      </c>
      <c r="K73" s="51">
        <f t="shared" si="8"/>
        <v>144346.16666666666</v>
      </c>
      <c r="L73" s="51">
        <f t="shared" si="8"/>
        <v>-4408.3333333333339</v>
      </c>
      <c r="M73" s="51">
        <f t="shared" si="8"/>
        <v>-4408.3333333333339</v>
      </c>
      <c r="N73" s="51">
        <f t="shared" si="8"/>
        <v>-4408.3333333333339</v>
      </c>
      <c r="O73" s="51">
        <f t="shared" si="8"/>
        <v>-4408.3333333333339</v>
      </c>
    </row>
    <row r="74" spans="1:15" x14ac:dyDescent="0.2">
      <c r="A74" s="8" t="s">
        <v>88</v>
      </c>
      <c r="B74" s="242">
        <v>-4586.9294560929338</v>
      </c>
      <c r="C74" s="51" t="s">
        <v>89</v>
      </c>
      <c r="D74" s="51">
        <f>+D73+B74</f>
        <v>-112140.7922455192</v>
      </c>
      <c r="E74" s="51">
        <f>+D76+E73</f>
        <v>-116549.12557885253</v>
      </c>
      <c r="F74" s="51">
        <f t="shared" ref="F74:O74" si="9">+E76+F73</f>
        <v>-131182.85891218585</v>
      </c>
      <c r="G74" s="51">
        <f t="shared" si="9"/>
        <v>-140104.6922455192</v>
      </c>
      <c r="H74" s="51">
        <f t="shared" si="9"/>
        <v>-157954.52557885254</v>
      </c>
      <c r="I74" s="51">
        <f t="shared" si="9"/>
        <v>-173218.35891218588</v>
      </c>
      <c r="J74" s="51">
        <f t="shared" si="9"/>
        <v>-184357.19224551923</v>
      </c>
      <c r="K74" s="51">
        <f t="shared" si="9"/>
        <v>-40011.025578852568</v>
      </c>
      <c r="L74" s="51">
        <f t="shared" si="9"/>
        <v>-44419.358912185904</v>
      </c>
      <c r="M74" s="51">
        <f t="shared" si="9"/>
        <v>-48827.69224551924</v>
      </c>
      <c r="N74" s="51">
        <f t="shared" si="9"/>
        <v>-53236.025578852576</v>
      </c>
      <c r="O74" s="51">
        <f t="shared" si="9"/>
        <v>-57644.358912185911</v>
      </c>
    </row>
    <row r="75" spans="1:15" ht="16" thickBot="1" x14ac:dyDescent="0.25">
      <c r="A75" s="8" t="s">
        <v>90</v>
      </c>
      <c r="B75" s="79"/>
      <c r="C75" s="51" t="s">
        <v>41</v>
      </c>
      <c r="D75" s="51">
        <f t="shared" ref="D75:O75" si="10">IF(D74&gt;0,0,D74*$B$75)</f>
        <v>0</v>
      </c>
      <c r="E75" s="51">
        <f t="shared" si="10"/>
        <v>0</v>
      </c>
      <c r="F75" s="51">
        <f t="shared" si="10"/>
        <v>0</v>
      </c>
      <c r="G75" s="51">
        <f t="shared" si="10"/>
        <v>0</v>
      </c>
      <c r="H75" s="51">
        <f t="shared" si="10"/>
        <v>0</v>
      </c>
      <c r="I75" s="51">
        <f t="shared" si="10"/>
        <v>0</v>
      </c>
      <c r="J75" s="51">
        <f t="shared" si="10"/>
        <v>0</v>
      </c>
      <c r="K75" s="51">
        <f t="shared" si="10"/>
        <v>0</v>
      </c>
      <c r="L75" s="51">
        <f t="shared" si="10"/>
        <v>0</v>
      </c>
      <c r="M75" s="51">
        <f t="shared" si="10"/>
        <v>0</v>
      </c>
      <c r="N75" s="51">
        <f t="shared" si="10"/>
        <v>0</v>
      </c>
      <c r="O75" s="51">
        <f t="shared" si="10"/>
        <v>0</v>
      </c>
    </row>
    <row r="76" spans="1:15" ht="16" thickBot="1" x14ac:dyDescent="0.25">
      <c r="A76" s="80" t="s">
        <v>91</v>
      </c>
      <c r="B76" s="81"/>
      <c r="C76" s="82"/>
      <c r="D76" s="83">
        <f t="shared" ref="D76:O76" si="11">+D75+D74</f>
        <v>-112140.7922455192</v>
      </c>
      <c r="E76" s="83">
        <f t="shared" si="11"/>
        <v>-116549.12557885253</v>
      </c>
      <c r="F76" s="83">
        <f t="shared" si="11"/>
        <v>-131182.85891218585</v>
      </c>
      <c r="G76" s="83">
        <f t="shared" si="11"/>
        <v>-140104.6922455192</v>
      </c>
      <c r="H76" s="83">
        <f t="shared" si="11"/>
        <v>-157954.52557885254</v>
      </c>
      <c r="I76" s="83">
        <f t="shared" si="11"/>
        <v>-173218.35891218588</v>
      </c>
      <c r="J76" s="83">
        <f t="shared" si="11"/>
        <v>-184357.19224551923</v>
      </c>
      <c r="K76" s="83">
        <f t="shared" si="11"/>
        <v>-40011.025578852568</v>
      </c>
      <c r="L76" s="83">
        <f t="shared" si="11"/>
        <v>-44419.358912185904</v>
      </c>
      <c r="M76" s="83">
        <f t="shared" si="11"/>
        <v>-48827.69224551924</v>
      </c>
      <c r="N76" s="83">
        <f t="shared" si="11"/>
        <v>-53236.025578852576</v>
      </c>
      <c r="O76" s="83">
        <f t="shared" si="11"/>
        <v>-57644.358912185911</v>
      </c>
    </row>
  </sheetData>
  <phoneticPr fontId="6" type="noConversion"/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4"/>
  <sheetViews>
    <sheetView topLeftCell="A6" zoomScale="75" workbookViewId="0">
      <selection activeCell="I20" sqref="I20"/>
    </sheetView>
  </sheetViews>
  <sheetFormatPr baseColWidth="10" defaultRowHeight="15" x14ac:dyDescent="0.2"/>
  <cols>
    <col min="2" max="2" width="35.6640625" customWidth="1"/>
  </cols>
  <sheetData>
    <row r="2" spans="1:6" x14ac:dyDescent="0.2">
      <c r="A2" s="1"/>
      <c r="B2" s="1" t="s">
        <v>92</v>
      </c>
      <c r="C2" s="1"/>
      <c r="D2" s="1"/>
      <c r="E2" s="6" t="s">
        <v>0</v>
      </c>
      <c r="F2" s="84"/>
    </row>
    <row r="3" spans="1:6" x14ac:dyDescent="0.2">
      <c r="A3" s="1"/>
      <c r="B3" s="1"/>
      <c r="C3" s="1"/>
      <c r="D3" s="1"/>
      <c r="E3" s="6" t="s">
        <v>1</v>
      </c>
      <c r="F3" s="85" t="s">
        <v>270</v>
      </c>
    </row>
    <row r="4" spans="1:6" x14ac:dyDescent="0.2">
      <c r="A4" s="86"/>
      <c r="B4" s="87"/>
      <c r="C4" s="88" t="s">
        <v>93</v>
      </c>
      <c r="D4" s="89"/>
      <c r="E4" s="88" t="s">
        <v>94</v>
      </c>
      <c r="F4" s="89"/>
    </row>
    <row r="5" spans="1:6" x14ac:dyDescent="0.2">
      <c r="A5" s="13"/>
      <c r="B5" s="90"/>
      <c r="C5" s="91"/>
      <c r="D5" s="90"/>
      <c r="E5" s="34"/>
      <c r="F5" s="26"/>
    </row>
    <row r="6" spans="1:6" x14ac:dyDescent="0.2">
      <c r="A6" s="13" t="s">
        <v>95</v>
      </c>
      <c r="B6" s="90"/>
      <c r="C6" s="91"/>
      <c r="D6" s="90"/>
      <c r="E6" s="91"/>
      <c r="F6" s="90"/>
    </row>
    <row r="7" spans="1:6" x14ac:dyDescent="0.2">
      <c r="A7" s="13"/>
      <c r="B7" s="90" t="s">
        <v>96</v>
      </c>
      <c r="C7" s="242">
        <v>-4586.9294560929338</v>
      </c>
      <c r="D7" s="90"/>
      <c r="E7" s="242">
        <v>-57644.358912185911</v>
      </c>
      <c r="F7" s="90"/>
    </row>
    <row r="8" spans="1:6" x14ac:dyDescent="0.2">
      <c r="A8" s="13"/>
      <c r="B8" s="90" t="s">
        <v>97</v>
      </c>
      <c r="C8" s="92"/>
      <c r="D8" s="90"/>
      <c r="E8" s="92"/>
      <c r="F8" s="90"/>
    </row>
    <row r="9" spans="1:6" x14ac:dyDescent="0.2">
      <c r="A9" s="13"/>
      <c r="B9" s="90" t="s">
        <v>98</v>
      </c>
      <c r="C9" s="92"/>
      <c r="D9" s="90"/>
      <c r="E9" s="92"/>
      <c r="F9" s="90"/>
    </row>
    <row r="10" spans="1:6" x14ac:dyDescent="0.2">
      <c r="A10" s="13"/>
      <c r="B10" s="90" t="s">
        <v>99</v>
      </c>
      <c r="C10" s="92"/>
      <c r="D10" s="90"/>
      <c r="E10" s="92"/>
      <c r="F10" s="90"/>
    </row>
    <row r="11" spans="1:6" x14ac:dyDescent="0.2">
      <c r="A11" s="13"/>
      <c r="B11" s="90" t="s">
        <v>100</v>
      </c>
      <c r="C11" s="92"/>
      <c r="D11" s="90"/>
      <c r="E11" s="92"/>
      <c r="F11" s="90"/>
    </row>
    <row r="12" spans="1:6" x14ac:dyDescent="0.2">
      <c r="A12" s="13"/>
      <c r="B12" s="90" t="s">
        <v>101</v>
      </c>
      <c r="C12" s="92"/>
      <c r="D12" s="90"/>
      <c r="E12" s="92"/>
      <c r="F12" s="90"/>
    </row>
    <row r="13" spans="1:6" x14ac:dyDescent="0.2">
      <c r="A13" s="13"/>
      <c r="B13" s="90" t="s">
        <v>102</v>
      </c>
      <c r="C13" s="37"/>
      <c r="D13" s="90"/>
      <c r="E13" s="37"/>
      <c r="F13" s="90"/>
    </row>
    <row r="14" spans="1:6" x14ac:dyDescent="0.2">
      <c r="A14" s="13"/>
      <c r="B14" s="90" t="s">
        <v>103</v>
      </c>
      <c r="C14" s="91"/>
      <c r="D14" s="93">
        <f>SUM(C7:C13)</f>
        <v>-4586.9294560929338</v>
      </c>
      <c r="E14" s="91"/>
      <c r="F14" s="93">
        <f>SUM(E7:E13)</f>
        <v>-57644.358912185911</v>
      </c>
    </row>
    <row r="15" spans="1:6" x14ac:dyDescent="0.2">
      <c r="A15" s="13"/>
      <c r="B15" s="90"/>
      <c r="C15" s="91"/>
      <c r="D15" s="90"/>
      <c r="E15" s="91"/>
      <c r="F15" s="90"/>
    </row>
    <row r="16" spans="1:6" x14ac:dyDescent="0.2">
      <c r="A16" s="13" t="s">
        <v>104</v>
      </c>
      <c r="B16" s="90"/>
      <c r="C16" s="91"/>
      <c r="D16" s="90"/>
      <c r="E16" s="91"/>
      <c r="F16" s="90"/>
    </row>
    <row r="17" spans="1:6" x14ac:dyDescent="0.2">
      <c r="A17" s="13"/>
      <c r="B17" s="90" t="s">
        <v>105</v>
      </c>
      <c r="C17" s="91"/>
      <c r="D17" s="90"/>
      <c r="E17" s="91"/>
      <c r="F17" s="90"/>
    </row>
    <row r="18" spans="1:6" x14ac:dyDescent="0.2">
      <c r="A18" s="13"/>
      <c r="B18" s="90" t="s">
        <v>106</v>
      </c>
      <c r="C18" s="91"/>
      <c r="D18" s="90"/>
      <c r="E18" s="91"/>
      <c r="F18" s="90"/>
    </row>
    <row r="19" spans="1:6" x14ac:dyDescent="0.2">
      <c r="A19" s="13"/>
      <c r="B19" s="90" t="s">
        <v>107</v>
      </c>
      <c r="C19" s="91"/>
      <c r="D19" s="93">
        <f>SUM(C17:C18)</f>
        <v>0</v>
      </c>
      <c r="E19" s="91"/>
      <c r="F19" s="93">
        <f>SUM(E17:E18)</f>
        <v>0</v>
      </c>
    </row>
    <row r="20" spans="1:6" x14ac:dyDescent="0.2">
      <c r="A20" s="13"/>
      <c r="B20" s="90"/>
      <c r="C20" s="91"/>
      <c r="D20" s="90"/>
      <c r="E20" s="91"/>
      <c r="F20" s="90"/>
    </row>
    <row r="21" spans="1:6" x14ac:dyDescent="0.2">
      <c r="A21" s="13" t="s">
        <v>108</v>
      </c>
      <c r="B21" s="90"/>
      <c r="C21" s="91"/>
      <c r="D21" s="90"/>
      <c r="E21" s="91"/>
      <c r="F21" s="90"/>
    </row>
    <row r="22" spans="1:6" x14ac:dyDescent="0.2">
      <c r="A22" s="13"/>
      <c r="B22" s="90" t="s">
        <v>109</v>
      </c>
      <c r="C22" s="92"/>
      <c r="D22" s="90"/>
      <c r="E22" s="92"/>
      <c r="F22" s="90"/>
    </row>
    <row r="23" spans="1:6" x14ac:dyDescent="0.2">
      <c r="A23" s="13"/>
      <c r="B23" s="90" t="s">
        <v>110</v>
      </c>
      <c r="C23" s="92"/>
      <c r="D23" s="90"/>
      <c r="E23" s="92"/>
      <c r="F23" s="90"/>
    </row>
    <row r="24" spans="1:6" x14ac:dyDescent="0.2">
      <c r="A24" s="13"/>
      <c r="B24" s="90" t="s">
        <v>33</v>
      </c>
      <c r="C24" s="92">
        <v>1900000</v>
      </c>
      <c r="D24" s="90"/>
      <c r="E24" s="92">
        <v>1900000</v>
      </c>
      <c r="F24" s="90"/>
    </row>
    <row r="25" spans="1:6" x14ac:dyDescent="0.2">
      <c r="A25" s="13"/>
      <c r="B25" s="90" t="s">
        <v>111</v>
      </c>
      <c r="C25" s="92"/>
      <c r="D25" s="90"/>
      <c r="E25" s="92"/>
      <c r="F25" s="90"/>
    </row>
    <row r="26" spans="1:6" x14ac:dyDescent="0.2">
      <c r="A26" s="13"/>
      <c r="B26" s="90" t="s">
        <v>112</v>
      </c>
      <c r="C26" s="92"/>
      <c r="D26" s="93">
        <f>SUM(C22:C25)</f>
        <v>1900000</v>
      </c>
      <c r="E26" s="92"/>
      <c r="F26" s="93">
        <f>SUM(E22:E25)</f>
        <v>1900000</v>
      </c>
    </row>
    <row r="27" spans="1:6" x14ac:dyDescent="0.2">
      <c r="A27" s="13" t="s">
        <v>113</v>
      </c>
      <c r="B27" s="90"/>
      <c r="C27" s="91"/>
      <c r="D27" s="94">
        <f>+D26+D19+D14</f>
        <v>1895413.0705439071</v>
      </c>
      <c r="E27" s="91"/>
      <c r="F27" s="94">
        <f>+F26+F19+F14</f>
        <v>1842355.641087814</v>
      </c>
    </row>
    <row r="28" spans="1:6" x14ac:dyDescent="0.2">
      <c r="A28" s="13"/>
      <c r="B28" s="90"/>
      <c r="C28" s="91"/>
      <c r="D28" s="90"/>
      <c r="E28" s="91"/>
      <c r="F28" s="90"/>
    </row>
    <row r="29" spans="1:6" x14ac:dyDescent="0.2">
      <c r="A29" s="13"/>
      <c r="B29" s="90"/>
      <c r="C29" s="91"/>
      <c r="D29" s="90"/>
      <c r="E29" s="91"/>
      <c r="F29" s="90"/>
    </row>
    <row r="30" spans="1:6" x14ac:dyDescent="0.2">
      <c r="A30" s="13" t="s">
        <v>95</v>
      </c>
      <c r="B30" s="90"/>
      <c r="C30" s="91"/>
      <c r="D30" s="90"/>
      <c r="E30" s="92"/>
      <c r="F30" s="90"/>
    </row>
    <row r="31" spans="1:6" x14ac:dyDescent="0.2">
      <c r="A31" s="13"/>
      <c r="B31" s="90" t="s">
        <v>114</v>
      </c>
      <c r="C31" s="92"/>
      <c r="D31" s="90"/>
      <c r="E31" s="92"/>
      <c r="F31" s="90"/>
    </row>
    <row r="32" spans="1:6" x14ac:dyDescent="0.2">
      <c r="A32" s="13"/>
      <c r="B32" s="90" t="s">
        <v>115</v>
      </c>
      <c r="C32" s="92"/>
      <c r="D32" s="90"/>
      <c r="E32" s="92"/>
      <c r="F32" s="90"/>
    </row>
    <row r="33" spans="1:6" x14ac:dyDescent="0.2">
      <c r="A33" s="13"/>
      <c r="B33" s="90" t="s">
        <v>116</v>
      </c>
      <c r="C33" s="92"/>
      <c r="D33" s="93"/>
      <c r="E33" s="92"/>
      <c r="F33" s="93"/>
    </row>
    <row r="34" spans="1:6" x14ac:dyDescent="0.2">
      <c r="A34" s="13"/>
      <c r="B34" s="90" t="s">
        <v>117</v>
      </c>
      <c r="C34" s="91"/>
      <c r="D34" s="93">
        <f>SUM(C31:C33)</f>
        <v>0</v>
      </c>
      <c r="E34" s="91"/>
      <c r="F34" s="93">
        <f>SUM(E31:E33)</f>
        <v>0</v>
      </c>
    </row>
    <row r="35" spans="1:6" x14ac:dyDescent="0.2">
      <c r="A35" s="13"/>
      <c r="B35" s="90"/>
      <c r="C35" s="91"/>
      <c r="D35" s="90"/>
      <c r="E35" s="91"/>
      <c r="F35" s="90"/>
    </row>
    <row r="36" spans="1:6" x14ac:dyDescent="0.2">
      <c r="A36" s="13" t="s">
        <v>118</v>
      </c>
      <c r="B36" s="90"/>
      <c r="C36" s="91"/>
      <c r="D36" s="90"/>
      <c r="E36" s="91"/>
      <c r="F36" s="90"/>
    </row>
    <row r="37" spans="1:6" x14ac:dyDescent="0.2">
      <c r="A37" s="13"/>
      <c r="B37" s="90" t="s">
        <v>119</v>
      </c>
      <c r="C37" s="241">
        <v>902031.31152588758</v>
      </c>
      <c r="D37" s="90"/>
      <c r="E37" s="241">
        <v>875500.22387660679</v>
      </c>
      <c r="F37" s="90"/>
    </row>
    <row r="38" spans="1:6" x14ac:dyDescent="0.2">
      <c r="A38" s="13"/>
      <c r="B38" s="90" t="s">
        <v>120</v>
      </c>
      <c r="C38" s="91"/>
      <c r="D38" s="90"/>
      <c r="E38" s="91"/>
      <c r="F38" s="90"/>
    </row>
    <row r="39" spans="1:6" x14ac:dyDescent="0.2">
      <c r="A39" s="13"/>
      <c r="B39" s="90" t="s">
        <v>121</v>
      </c>
      <c r="C39" s="91"/>
      <c r="D39" s="93">
        <f>SUM(C37:C38)</f>
        <v>902031.31152588758</v>
      </c>
      <c r="E39" s="91"/>
      <c r="F39" s="93">
        <f>SUM(E37:E38)</f>
        <v>875500.22387660679</v>
      </c>
    </row>
    <row r="40" spans="1:6" x14ac:dyDescent="0.2">
      <c r="A40" s="13"/>
      <c r="B40" s="90"/>
      <c r="C40" s="91"/>
      <c r="D40" s="90"/>
      <c r="E40" s="91"/>
      <c r="F40" s="90"/>
    </row>
    <row r="41" spans="1:6" x14ac:dyDescent="0.2">
      <c r="A41" s="13" t="s">
        <v>122</v>
      </c>
      <c r="B41" s="90"/>
      <c r="C41" s="91"/>
      <c r="D41" s="94">
        <f>+D39+D34</f>
        <v>902031.31152588758</v>
      </c>
      <c r="E41" s="91"/>
      <c r="F41" s="94">
        <f>+F39+F34</f>
        <v>875500.22387660679</v>
      </c>
    </row>
    <row r="42" spans="1:6" x14ac:dyDescent="0.2">
      <c r="A42" s="13"/>
      <c r="B42" s="90"/>
      <c r="C42" s="91"/>
      <c r="D42" s="90"/>
      <c r="E42" s="91"/>
      <c r="F42" s="90"/>
    </row>
    <row r="43" spans="1:6" x14ac:dyDescent="0.2">
      <c r="A43" s="13" t="s">
        <v>123</v>
      </c>
      <c r="B43" s="90"/>
      <c r="C43" s="91"/>
      <c r="D43" s="94">
        <f>+D27-D41</f>
        <v>993381.75901801954</v>
      </c>
      <c r="E43" s="91"/>
      <c r="F43" s="94">
        <f>+F27-F41</f>
        <v>966855.41721120721</v>
      </c>
    </row>
    <row r="44" spans="1:6" x14ac:dyDescent="0.2">
      <c r="A44" s="28"/>
      <c r="B44" s="29"/>
      <c r="C44" s="37"/>
      <c r="D44" s="29"/>
      <c r="E44" s="37"/>
      <c r="F44" s="29"/>
    </row>
  </sheetData>
  <phoneticPr fontId="6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7" zoomScale="97" workbookViewId="0">
      <selection activeCell="G55" sqref="G55"/>
    </sheetView>
  </sheetViews>
  <sheetFormatPr baseColWidth="10" defaultRowHeight="15" x14ac:dyDescent="0.2"/>
  <sheetData>
    <row r="1" spans="1:7" x14ac:dyDescent="0.2">
      <c r="A1" s="95" t="s">
        <v>124</v>
      </c>
      <c r="B1" s="95"/>
      <c r="C1" s="96"/>
      <c r="D1" s="96"/>
      <c r="E1" s="5"/>
      <c r="F1" s="97"/>
      <c r="G1" s="95" t="s">
        <v>125</v>
      </c>
    </row>
    <row r="2" spans="1:7" x14ac:dyDescent="0.2">
      <c r="A2" s="8"/>
      <c r="B2" s="8"/>
      <c r="C2" s="8"/>
      <c r="D2" s="8"/>
      <c r="E2" s="8"/>
      <c r="F2" s="8"/>
      <c r="G2" s="6" t="s">
        <v>271</v>
      </c>
    </row>
    <row r="3" spans="1:7" x14ac:dyDescent="0.2">
      <c r="A3" s="55" t="s">
        <v>2</v>
      </c>
      <c r="B3" s="98"/>
      <c r="C3" s="14"/>
      <c r="D3" s="99" t="s">
        <v>126</v>
      </c>
      <c r="E3" s="100" t="s">
        <v>127</v>
      </c>
      <c r="F3" s="101" t="s">
        <v>128</v>
      </c>
      <c r="G3" s="102" t="s">
        <v>129</v>
      </c>
    </row>
    <row r="4" spans="1:7" x14ac:dyDescent="0.2">
      <c r="A4" s="2" t="s">
        <v>130</v>
      </c>
      <c r="B4" s="2"/>
      <c r="C4" s="8"/>
      <c r="D4" s="58"/>
      <c r="E4" s="35"/>
      <c r="F4" s="54"/>
      <c r="G4" s="54"/>
    </row>
    <row r="5" spans="1:7" x14ac:dyDescent="0.2">
      <c r="A5" s="1"/>
      <c r="B5" s="103" t="s">
        <v>274</v>
      </c>
      <c r="C5" s="104"/>
      <c r="D5" s="105">
        <v>130</v>
      </c>
      <c r="E5" s="106">
        <v>100</v>
      </c>
      <c r="F5" s="107">
        <v>900</v>
      </c>
      <c r="G5" s="107">
        <v>117000</v>
      </c>
    </row>
    <row r="6" spans="1:7" x14ac:dyDescent="0.2">
      <c r="A6" s="2"/>
      <c r="B6" s="103" t="s">
        <v>275</v>
      </c>
      <c r="C6" s="104"/>
      <c r="D6" s="105">
        <v>55</v>
      </c>
      <c r="E6" s="106">
        <v>100</v>
      </c>
      <c r="F6" s="107">
        <v>825</v>
      </c>
      <c r="G6" s="107">
        <v>45375</v>
      </c>
    </row>
    <row r="7" spans="1:7" x14ac:dyDescent="0.2">
      <c r="A7" s="2"/>
      <c r="B7" s="103" t="s">
        <v>18</v>
      </c>
      <c r="C7" s="104"/>
      <c r="D7" s="105"/>
      <c r="E7" s="106"/>
      <c r="F7" s="107"/>
      <c r="G7" s="107"/>
    </row>
    <row r="8" spans="1:7" x14ac:dyDescent="0.2">
      <c r="A8" s="2"/>
      <c r="B8" s="103" t="s">
        <v>19</v>
      </c>
      <c r="C8" s="104"/>
      <c r="D8" s="105"/>
      <c r="E8" s="106"/>
      <c r="F8" s="107"/>
      <c r="G8" s="107"/>
    </row>
    <row r="9" spans="1:7" x14ac:dyDescent="0.2">
      <c r="A9" s="2"/>
      <c r="B9" s="103" t="s">
        <v>20</v>
      </c>
      <c r="C9" s="104"/>
      <c r="D9" s="105"/>
      <c r="E9" s="106"/>
      <c r="F9" s="107"/>
      <c r="G9" s="107"/>
    </row>
    <row r="10" spans="1:7" x14ac:dyDescent="0.2">
      <c r="A10" s="2"/>
      <c r="B10" s="103" t="s">
        <v>21</v>
      </c>
      <c r="C10" s="104"/>
      <c r="D10" s="105"/>
      <c r="E10" s="106"/>
      <c r="F10" s="107"/>
      <c r="G10" s="107"/>
    </row>
    <row r="11" spans="1:7" x14ac:dyDescent="0.2">
      <c r="A11" s="1"/>
      <c r="B11" s="103" t="s">
        <v>22</v>
      </c>
      <c r="C11" s="104"/>
      <c r="D11" s="105"/>
      <c r="E11" s="106"/>
      <c r="F11" s="107"/>
      <c r="G11" s="107"/>
    </row>
    <row r="12" spans="1:7" x14ac:dyDescent="0.2">
      <c r="A12" s="1"/>
      <c r="B12" s="103" t="s">
        <v>23</v>
      </c>
      <c r="C12" s="104"/>
      <c r="D12" s="105"/>
      <c r="E12" s="106"/>
      <c r="F12" s="107"/>
      <c r="G12" s="107"/>
    </row>
    <row r="13" spans="1:7" x14ac:dyDescent="0.2">
      <c r="A13" s="1"/>
      <c r="B13" s="103" t="s">
        <v>24</v>
      </c>
      <c r="C13" s="104"/>
      <c r="D13" s="105"/>
      <c r="E13" s="106"/>
      <c r="F13" s="107"/>
      <c r="G13" s="107"/>
    </row>
    <row r="14" spans="1:7" x14ac:dyDescent="0.2">
      <c r="A14" s="1"/>
      <c r="B14" s="103" t="s">
        <v>25</v>
      </c>
      <c r="C14" s="104"/>
      <c r="D14" s="105"/>
      <c r="E14" s="106"/>
      <c r="F14" s="107"/>
      <c r="G14" s="107"/>
    </row>
    <row r="15" spans="1:7" x14ac:dyDescent="0.2">
      <c r="A15" s="2" t="s">
        <v>45</v>
      </c>
      <c r="B15" s="103"/>
      <c r="C15" s="104"/>
      <c r="D15" s="105"/>
      <c r="E15" s="106"/>
      <c r="F15" s="107"/>
      <c r="G15" s="107"/>
    </row>
    <row r="16" spans="1:7" x14ac:dyDescent="0.2">
      <c r="A16" s="2"/>
      <c r="B16" s="103" t="s">
        <v>26</v>
      </c>
      <c r="C16" s="104"/>
      <c r="D16" s="105"/>
      <c r="E16" s="106"/>
      <c r="F16" s="107"/>
      <c r="G16" s="107"/>
    </row>
    <row r="17" spans="1:7" x14ac:dyDescent="0.2">
      <c r="A17" s="2"/>
      <c r="B17" s="103" t="s">
        <v>27</v>
      </c>
      <c r="C17" s="104"/>
      <c r="D17" s="105"/>
      <c r="E17" s="106"/>
      <c r="F17" s="107"/>
      <c r="G17" s="107"/>
    </row>
    <row r="18" spans="1:7" x14ac:dyDescent="0.2">
      <c r="A18" s="8"/>
      <c r="B18" s="103" t="s">
        <v>28</v>
      </c>
      <c r="C18" s="104"/>
      <c r="D18" s="105"/>
      <c r="E18" s="106"/>
      <c r="F18" s="107"/>
      <c r="G18" s="107"/>
    </row>
    <row r="19" spans="1:7" x14ac:dyDescent="0.2">
      <c r="A19" s="8"/>
      <c r="B19" s="103" t="s">
        <v>29</v>
      </c>
      <c r="C19" s="104"/>
      <c r="D19" s="105"/>
      <c r="E19" s="106"/>
      <c r="F19" s="107"/>
      <c r="G19" s="107"/>
    </row>
    <row r="20" spans="1:7" x14ac:dyDescent="0.2">
      <c r="A20" s="108"/>
      <c r="B20" s="108" t="s">
        <v>30</v>
      </c>
      <c r="C20" s="28"/>
      <c r="D20" s="109"/>
      <c r="E20" s="106"/>
      <c r="F20" s="39"/>
      <c r="G20" s="110"/>
    </row>
    <row r="21" spans="1:7" x14ac:dyDescent="0.2">
      <c r="A21" s="65" t="s">
        <v>3</v>
      </c>
      <c r="B21" s="65"/>
      <c r="C21" s="10"/>
      <c r="D21" s="111"/>
      <c r="E21" s="112"/>
      <c r="F21" s="113"/>
      <c r="G21" s="113">
        <f>SUM(G5:G6)</f>
        <v>162375</v>
      </c>
    </row>
    <row r="22" spans="1:7" x14ac:dyDescent="0.2">
      <c r="A22" s="8" t="s">
        <v>131</v>
      </c>
      <c r="B22" s="8"/>
      <c r="C22" s="1"/>
      <c r="D22" s="1"/>
      <c r="E22" s="1" t="s">
        <v>132</v>
      </c>
      <c r="F22" s="46"/>
      <c r="G22" s="114"/>
    </row>
    <row r="23" spans="1:7" x14ac:dyDescent="0.2">
      <c r="A23" s="1"/>
      <c r="B23" s="1"/>
      <c r="C23" s="1"/>
      <c r="D23" s="1"/>
      <c r="E23" s="1" t="s">
        <v>34</v>
      </c>
      <c r="F23" s="46"/>
      <c r="G23" s="115"/>
    </row>
    <row r="24" spans="1:7" x14ac:dyDescent="0.2">
      <c r="A24" s="1"/>
      <c r="B24" s="1"/>
      <c r="C24" s="1"/>
      <c r="D24" s="1"/>
      <c r="E24" s="1"/>
      <c r="F24" s="8" t="s">
        <v>133</v>
      </c>
      <c r="G24" s="116">
        <v>162375</v>
      </c>
    </row>
    <row r="25" spans="1:7" x14ac:dyDescent="0.2">
      <c r="A25" s="8" t="s">
        <v>134</v>
      </c>
      <c r="B25" s="8"/>
      <c r="C25" s="1"/>
      <c r="D25" s="1"/>
      <c r="E25" s="1"/>
      <c r="F25" s="1"/>
      <c r="G25" s="42"/>
    </row>
    <row r="26" spans="1:7" x14ac:dyDescent="0.2">
      <c r="A26" s="8" t="s">
        <v>135</v>
      </c>
      <c r="B26" s="8"/>
      <c r="C26" s="1"/>
      <c r="D26" s="1"/>
      <c r="E26" s="1"/>
      <c r="F26" s="1"/>
      <c r="G26" s="42"/>
    </row>
    <row r="27" spans="1:7" x14ac:dyDescent="0.2">
      <c r="A27" s="2" t="s">
        <v>136</v>
      </c>
      <c r="B27" s="2"/>
      <c r="C27" s="4"/>
      <c r="D27" s="4"/>
      <c r="E27" s="1"/>
      <c r="F27" s="117"/>
      <c r="G27" s="116">
        <v>162375</v>
      </c>
    </row>
    <row r="28" spans="1:7" ht="16" x14ac:dyDescent="0.2">
      <c r="A28" s="119"/>
      <c r="B28" s="119"/>
      <c r="C28" s="119"/>
      <c r="D28" s="119"/>
      <c r="E28" s="119"/>
      <c r="F28" s="119"/>
      <c r="G28" s="120"/>
    </row>
    <row r="29" spans="1:7" x14ac:dyDescent="0.2">
      <c r="A29" s="2" t="s">
        <v>137</v>
      </c>
      <c r="B29" s="2"/>
      <c r="C29" s="4"/>
      <c r="D29" s="1"/>
      <c r="E29" s="1"/>
      <c r="F29" s="1"/>
      <c r="G29" s="121"/>
    </row>
    <row r="30" spans="1:7" x14ac:dyDescent="0.2">
      <c r="A30" s="1"/>
      <c r="B30" s="1" t="s">
        <v>138</v>
      </c>
      <c r="C30" s="1"/>
      <c r="D30" s="1"/>
      <c r="E30" s="1"/>
      <c r="F30" s="46"/>
      <c r="G30" s="237">
        <v>65698</v>
      </c>
    </row>
    <row r="31" spans="1:7" x14ac:dyDescent="0.2">
      <c r="A31" s="2" t="s">
        <v>139</v>
      </c>
      <c r="B31" s="2"/>
      <c r="C31" s="122"/>
      <c r="D31" s="1"/>
      <c r="E31" s="1"/>
      <c r="F31" s="46"/>
      <c r="G31" s="54"/>
    </row>
    <row r="32" spans="1:7" x14ac:dyDescent="0.2">
      <c r="A32" s="1"/>
      <c r="B32" s="1"/>
      <c r="C32" s="8" t="s">
        <v>62</v>
      </c>
      <c r="D32" s="1"/>
      <c r="E32" s="1"/>
      <c r="F32" s="1"/>
      <c r="G32" s="54"/>
    </row>
    <row r="33" spans="1:7" x14ac:dyDescent="0.2">
      <c r="A33" s="1"/>
      <c r="B33" s="1"/>
      <c r="C33" s="8" t="s">
        <v>140</v>
      </c>
      <c r="D33" s="1"/>
      <c r="E33" s="1"/>
      <c r="F33" s="1"/>
      <c r="G33" s="54"/>
    </row>
    <row r="34" spans="1:7" x14ac:dyDescent="0.2">
      <c r="A34" s="1"/>
      <c r="B34" s="1"/>
      <c r="C34" s="8" t="s">
        <v>59</v>
      </c>
      <c r="D34" s="1"/>
      <c r="E34" s="1"/>
      <c r="F34" s="1"/>
      <c r="G34" s="54"/>
    </row>
    <row r="35" spans="1:7" x14ac:dyDescent="0.2">
      <c r="A35" s="1"/>
      <c r="B35" s="1"/>
      <c r="C35" s="8" t="s">
        <v>141</v>
      </c>
      <c r="D35" s="1"/>
      <c r="E35" s="1"/>
      <c r="F35" s="1"/>
      <c r="G35" s="123"/>
    </row>
    <row r="36" spans="1:7" x14ac:dyDescent="0.2">
      <c r="A36" s="5" t="s">
        <v>142</v>
      </c>
      <c r="B36" s="1"/>
      <c r="C36" s="8"/>
      <c r="D36" s="1"/>
      <c r="E36" s="1"/>
      <c r="F36" s="1"/>
      <c r="G36" s="123"/>
    </row>
    <row r="37" spans="1:7" x14ac:dyDescent="0.2">
      <c r="A37" s="1"/>
      <c r="B37" s="1" t="s">
        <v>143</v>
      </c>
      <c r="C37" s="8"/>
      <c r="D37" s="1"/>
      <c r="E37" s="1"/>
      <c r="F37" s="1"/>
      <c r="G37" s="123"/>
    </row>
    <row r="38" spans="1:7" x14ac:dyDescent="0.2">
      <c r="A38" s="1"/>
      <c r="B38" s="1" t="s">
        <v>144</v>
      </c>
      <c r="C38" s="8"/>
      <c r="D38" s="1"/>
      <c r="E38" s="1"/>
      <c r="F38" s="46"/>
      <c r="G38" s="123"/>
    </row>
    <row r="39" spans="1:7" x14ac:dyDescent="0.2">
      <c r="A39" s="1"/>
      <c r="B39" s="1"/>
      <c r="C39" s="8"/>
      <c r="D39" s="1"/>
      <c r="E39" s="1"/>
      <c r="F39" s="8" t="s">
        <v>133</v>
      </c>
      <c r="G39" s="116">
        <v>65698</v>
      </c>
    </row>
    <row r="40" spans="1:7" ht="16" thickBot="1" x14ac:dyDescent="0.25">
      <c r="A40" s="5" t="s">
        <v>145</v>
      </c>
      <c r="B40" s="1"/>
      <c r="C40" s="8"/>
      <c r="D40" s="1"/>
      <c r="E40" s="1"/>
      <c r="F40" s="8"/>
      <c r="G40" s="118">
        <f>G27-G39</f>
        <v>96677</v>
      </c>
    </row>
    <row r="41" spans="1:7" ht="16" thickTop="1" x14ac:dyDescent="0.2">
      <c r="A41" s="124" t="s">
        <v>146</v>
      </c>
      <c r="B41" s="95" t="s">
        <v>147</v>
      </c>
      <c r="C41" s="5"/>
      <c r="D41" s="125"/>
      <c r="E41" s="125"/>
      <c r="F41" s="1"/>
      <c r="G41" s="123"/>
    </row>
    <row r="42" spans="1:7" x14ac:dyDescent="0.2">
      <c r="A42" s="124"/>
      <c r="B42" s="95"/>
      <c r="C42" s="125" t="s">
        <v>41</v>
      </c>
      <c r="D42" s="125"/>
      <c r="E42" s="125"/>
      <c r="F42" s="1"/>
      <c r="G42" s="123"/>
    </row>
    <row r="43" spans="1:7" x14ac:dyDescent="0.2">
      <c r="A43" s="124"/>
      <c r="B43" s="95"/>
      <c r="C43" s="125" t="s">
        <v>34</v>
      </c>
      <c r="D43" s="125"/>
      <c r="E43" s="125"/>
      <c r="F43" s="1"/>
      <c r="G43" s="123"/>
    </row>
    <row r="44" spans="1:7" x14ac:dyDescent="0.2">
      <c r="A44" s="124" t="s">
        <v>148</v>
      </c>
      <c r="B44" s="95" t="s">
        <v>149</v>
      </c>
      <c r="C44" s="5"/>
      <c r="D44" s="125"/>
      <c r="E44" s="125"/>
      <c r="F44" s="1"/>
      <c r="G44" s="123"/>
    </row>
    <row r="45" spans="1:7" x14ac:dyDescent="0.2">
      <c r="A45" s="5"/>
      <c r="B45" s="5"/>
      <c r="C45" s="125" t="s">
        <v>41</v>
      </c>
      <c r="D45" s="125"/>
      <c r="E45" s="125" t="s">
        <v>150</v>
      </c>
      <c r="F45" s="1"/>
      <c r="G45" s="239">
        <v>63142.191806812138</v>
      </c>
    </row>
    <row r="46" spans="1:7" x14ac:dyDescent="0.2">
      <c r="A46" s="5"/>
      <c r="B46" s="5"/>
      <c r="C46" s="125"/>
      <c r="D46" s="125"/>
      <c r="E46" s="125" t="s">
        <v>34</v>
      </c>
      <c r="F46" s="1"/>
      <c r="G46" s="123"/>
    </row>
    <row r="47" spans="1:7" x14ac:dyDescent="0.2">
      <c r="A47" s="125"/>
      <c r="B47" s="125"/>
      <c r="C47" s="125" t="s">
        <v>34</v>
      </c>
      <c r="D47" s="125"/>
      <c r="E47" s="125"/>
      <c r="F47" s="1"/>
      <c r="G47" s="123"/>
    </row>
    <row r="48" spans="1:7" x14ac:dyDescent="0.2">
      <c r="A48" s="125"/>
      <c r="B48" s="125"/>
      <c r="C48" s="124"/>
      <c r="D48" s="125"/>
      <c r="E48" s="125"/>
      <c r="F48" s="8" t="s">
        <v>133</v>
      </c>
      <c r="G48" s="42">
        <v>63142</v>
      </c>
    </row>
    <row r="49" spans="1:7" ht="16" thickBot="1" x14ac:dyDescent="0.25">
      <c r="A49" s="5" t="s">
        <v>151</v>
      </c>
      <c r="B49" s="125"/>
      <c r="C49" s="125"/>
      <c r="D49" s="125"/>
      <c r="E49" s="125"/>
      <c r="F49" s="1"/>
      <c r="G49" s="118">
        <f>G40-G48</f>
        <v>33535</v>
      </c>
    </row>
    <row r="50" spans="1:7" ht="16" thickTop="1" x14ac:dyDescent="0.2">
      <c r="A50" s="5" t="s">
        <v>152</v>
      </c>
      <c r="B50" s="125"/>
      <c r="C50" s="125"/>
      <c r="D50" s="125"/>
      <c r="E50" s="125"/>
      <c r="F50" s="1"/>
      <c r="G50" s="126"/>
    </row>
    <row r="51" spans="1:7" x14ac:dyDescent="0.2">
      <c r="A51" s="5"/>
      <c r="B51" s="125" t="s">
        <v>153</v>
      </c>
      <c r="C51" s="125"/>
      <c r="D51" s="125"/>
      <c r="E51" s="125"/>
      <c r="F51" s="1"/>
      <c r="G51" s="126"/>
    </row>
    <row r="52" spans="1:7" x14ac:dyDescent="0.2">
      <c r="A52" s="5"/>
      <c r="B52" s="124" t="s">
        <v>34</v>
      </c>
      <c r="C52" s="125"/>
      <c r="D52" s="125"/>
      <c r="E52" s="125"/>
      <c r="F52" s="127"/>
      <c r="G52" s="126"/>
    </row>
    <row r="53" spans="1:7" x14ac:dyDescent="0.2">
      <c r="A53" s="2"/>
      <c r="B53" s="2"/>
      <c r="C53" s="1"/>
      <c r="D53" s="1"/>
      <c r="E53" s="1"/>
      <c r="F53" s="8" t="s">
        <v>133</v>
      </c>
      <c r="G53" s="128">
        <v>0</v>
      </c>
    </row>
    <row r="54" spans="1:7" x14ac:dyDescent="0.2">
      <c r="A54" s="2" t="s">
        <v>154</v>
      </c>
      <c r="B54" s="2"/>
      <c r="C54" s="4"/>
      <c r="D54" s="4"/>
      <c r="E54" s="1"/>
      <c r="F54" s="4"/>
      <c r="G54" s="126">
        <v>33535</v>
      </c>
    </row>
    <row r="55" spans="1:7" x14ac:dyDescent="0.2">
      <c r="A55" s="8" t="s">
        <v>276</v>
      </c>
      <c r="B55" s="8"/>
      <c r="C55" s="127"/>
      <c r="D55" s="8" t="s">
        <v>155</v>
      </c>
      <c r="E55" s="1"/>
      <c r="F55" s="117"/>
      <c r="G55" s="115">
        <f>G54*0.3</f>
        <v>10060.5</v>
      </c>
    </row>
    <row r="56" spans="1:7" ht="16" thickBot="1" x14ac:dyDescent="0.25">
      <c r="A56" s="2" t="s">
        <v>156</v>
      </c>
      <c r="B56" s="8"/>
      <c r="C56" s="8"/>
      <c r="D56" s="8"/>
      <c r="E56" s="1"/>
      <c r="F56" s="117"/>
      <c r="G56" s="118">
        <f>G54-G55</f>
        <v>23474.5</v>
      </c>
    </row>
    <row r="57" spans="1:7" ht="16" thickTop="1" x14ac:dyDescent="0.2">
      <c r="A57" s="8"/>
      <c r="B57" s="8"/>
      <c r="C57" s="8"/>
      <c r="D57" s="8"/>
      <c r="E57" s="1"/>
      <c r="F57" s="117"/>
      <c r="G57" s="129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Gross Margin</vt:lpstr>
      <vt:lpstr>Cash Flow</vt:lpstr>
      <vt:lpstr>Balance Sheet</vt:lpstr>
      <vt:lpstr>Profit or Loss Statement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Koopman</dc:creator>
  <cp:lastModifiedBy>Microsoft Office 用户</cp:lastModifiedBy>
  <dcterms:created xsi:type="dcterms:W3CDTF">2014-08-19T05:59:47Z</dcterms:created>
  <dcterms:modified xsi:type="dcterms:W3CDTF">2019-10-16T07:50:43Z</dcterms:modified>
</cp:coreProperties>
</file>